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backupFile="1" codeName="ThisWorkbook"/>
  <mc:AlternateContent xmlns:mc="http://schemas.openxmlformats.org/markup-compatibility/2006">
    <mc:Choice Requires="x15">
      <x15ac:absPath xmlns:x15ac="http://schemas.microsoft.com/office/spreadsheetml/2010/11/ac" url="C:\Users\alexi\Documents\scolaire\IPSA\AeroIpsa\SP-02\STABTRAJ\sp02_v3\Alpha\"/>
    </mc:Choice>
  </mc:AlternateContent>
  <xr:revisionPtr revIDLastSave="0" documentId="13_ncr:1_{C6D9841A-17F3-471D-8BD2-47BF7D63960C}" xr6:coauthVersionLast="47" xr6:coauthVersionMax="47" xr10:uidLastSave="{00000000-0000-0000-0000-000000000000}"/>
  <bookViews>
    <workbookView xWindow="14400" yWindow="0" windowWidth="14400" windowHeight="15750"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Propu!$A$317:$A$324</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5" i="1" l="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C133" i="6"/>
  <c r="D161" i="6"/>
  <c r="E161" i="6" s="1"/>
  <c r="D158" i="6"/>
  <c r="E158" i="6" s="1"/>
  <c r="D162" i="6"/>
  <c r="E162" i="6" s="1"/>
  <c r="D160" i="6"/>
  <c r="E160" i="6" s="1"/>
  <c r="D159" i="6"/>
  <c r="E159" i="6" s="1"/>
  <c r="S206" i="4"/>
  <c r="R206" i="4"/>
  <c r="T206" i="4"/>
  <c r="U206" i="4"/>
  <c r="X205" i="4"/>
  <c r="W206" i="4" s="1"/>
  <c r="V206" i="4"/>
  <c r="X100" i="4"/>
  <c r="L105" i="4"/>
  <c r="C105" i="4"/>
  <c r="K105" i="4"/>
  <c r="O105" i="4"/>
  <c r="S100" i="4"/>
  <c r="U100" i="4"/>
  <c r="H100" i="4"/>
  <c r="Q100" i="4"/>
  <c r="Q105" i="4"/>
  <c r="I38" i="7" l="1"/>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O21" i="6" s="1"/>
  <c r="B54" i="8"/>
  <c r="C54" i="8" s="1"/>
  <c r="D26" i="7"/>
  <c r="B53" i="8"/>
  <c r="C53" i="8" s="1"/>
  <c r="B60" i="8"/>
  <c r="C60" i="8" s="1"/>
  <c r="B66" i="8"/>
  <c r="C66" i="8" s="1"/>
  <c r="B52" i="8"/>
  <c r="C52" i="8" s="1"/>
  <c r="B57" i="8"/>
  <c r="C57" i="8" s="1"/>
  <c r="T14" i="6"/>
  <c r="C173" i="6"/>
  <c r="C172" i="6"/>
  <c r="C195" i="6"/>
  <c r="A317" i="4" a="1"/>
  <c r="A341" i="4" s="1"/>
  <c r="D148" i="4"/>
  <c r="F148" i="4" s="1"/>
  <c r="H28" i="1"/>
  <c r="H67" i="7"/>
  <c r="H17" i="7"/>
  <c r="B107" i="1"/>
  <c r="E24" i="1"/>
  <c r="B109" i="1"/>
  <c r="H48" i="1"/>
  <c r="B158" i="1"/>
  <c r="B132" i="1"/>
  <c r="G4" i="3"/>
  <c r="C139" i="6"/>
  <c r="C134" i="6"/>
  <c r="C143" i="6"/>
  <c r="C146" i="6"/>
  <c r="AD4" i="3"/>
  <c r="E190" i="6"/>
  <c r="D32" i="1"/>
  <c r="I68" i="7" s="1"/>
  <c r="AE4" i="3"/>
  <c r="T19" i="6"/>
  <c r="C142" i="6"/>
  <c r="C141" i="6"/>
  <c r="C145" i="6"/>
  <c r="I71" i="7"/>
  <c r="B77" i="8"/>
  <c r="C196" i="6"/>
  <c r="B196" i="6" s="1"/>
  <c r="C147" i="6"/>
  <c r="E42" i="7"/>
  <c r="E193" i="6"/>
  <c r="E189" i="6"/>
  <c r="C183" i="6"/>
  <c r="J90" i="7"/>
  <c r="F118" i="7" s="1"/>
  <c r="C132" i="6"/>
  <c r="F27" i="7"/>
  <c r="C137" i="6"/>
  <c r="C135" i="6"/>
  <c r="C138" i="6"/>
  <c r="E33" i="6"/>
  <c r="C144" i="6"/>
  <c r="T17" i="6"/>
  <c r="E14" i="7"/>
  <c r="B201" i="6"/>
  <c r="C201" i="6" s="1"/>
  <c r="B186" i="6"/>
  <c r="B200" i="6"/>
  <c r="C200" i="6" s="1"/>
  <c r="E183" i="6"/>
  <c r="B187" i="6"/>
  <c r="E184" i="6"/>
  <c r="B202" i="6"/>
  <c r="T3" i="4"/>
  <c r="Y4" i="4"/>
  <c r="Q3" i="4"/>
  <c r="C163" i="6" l="1"/>
  <c r="C166" i="6"/>
  <c r="C167" i="6"/>
  <c r="E4" i="7"/>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B4" i="4"/>
  <c r="N2" i="4"/>
  <c r="J3" i="4"/>
  <c r="S3" i="4"/>
  <c r="V2" i="4"/>
  <c r="P2" i="4"/>
  <c r="S4" i="4"/>
  <c r="W4" i="4"/>
  <c r="X4" i="4"/>
  <c r="K4" i="4"/>
  <c r="U4" i="4"/>
  <c r="I3" i="4"/>
  <c r="T4" i="4"/>
  <c r="C3" i="4"/>
  <c r="M3" i="4"/>
  <c r="C4" i="4"/>
  <c r="V3" i="4"/>
  <c r="R3" i="4"/>
  <c r="G4" i="4"/>
  <c r="E4" i="4"/>
  <c r="H2" i="4"/>
  <c r="X3" i="4"/>
  <c r="R4" i="4"/>
  <c r="F3" i="4"/>
  <c r="T2" i="4"/>
  <c r="K3" i="4"/>
  <c r="U3" i="4"/>
  <c r="L4" i="4"/>
  <c r="X2" i="4"/>
  <c r="P3" i="4"/>
  <c r="P4" i="4"/>
  <c r="O3" i="4"/>
  <c r="N4" i="4"/>
  <c r="D3" i="4"/>
  <c r="L2" i="4"/>
  <c r="Y3" i="4"/>
  <c r="E3" i="4"/>
  <c r="G3" i="4"/>
  <c r="N3" i="4"/>
  <c r="J4" i="4"/>
  <c r="J2" i="4"/>
  <c r="F4" i="4"/>
  <c r="Q4" i="4"/>
  <c r="H4" i="4"/>
  <c r="V4" i="4"/>
  <c r="Z2" i="4"/>
  <c r="O4" i="4"/>
  <c r="M4" i="4"/>
  <c r="L3" i="4"/>
  <c r="I4" i="4"/>
  <c r="W3" i="4"/>
  <c r="H3" i="4"/>
  <c r="B3" i="4"/>
  <c r="R2" i="4"/>
  <c r="D4" i="4"/>
  <c r="P14" i="6" l="1"/>
  <c r="N14" i="6" s="1"/>
  <c r="I41" i="7" s="1"/>
  <c r="D166" i="6"/>
  <c r="E166" i="6" s="1"/>
  <c r="D167" i="6"/>
  <c r="E167" i="6" s="1"/>
  <c r="D163" i="6"/>
  <c r="E163" i="6" s="1"/>
  <c r="E28" i="6"/>
  <c r="D164" i="6"/>
  <c r="E164" i="6" s="1"/>
  <c r="D165" i="6"/>
  <c r="E165" i="6" s="1"/>
  <c r="A5" i="3"/>
  <c r="B5" i="3" s="1"/>
  <c r="Z5" i="3" s="1"/>
  <c r="N12" i="6"/>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M12" i="6"/>
  <c r="W166" i="4"/>
  <c r="X166" i="4"/>
  <c r="E127" i="6"/>
  <c r="D128" i="6"/>
  <c r="W110" i="4"/>
  <c r="U111" i="4"/>
  <c r="X126" i="4"/>
  <c r="W126" i="4"/>
  <c r="D123" i="4" s="1"/>
  <c r="D118" i="4"/>
  <c r="F118" i="4" s="1"/>
  <c r="D163" i="4"/>
  <c r="F163" i="4" s="1"/>
  <c r="W235" i="4"/>
  <c r="U236" i="4"/>
  <c r="W200" i="4"/>
  <c r="U201" i="4"/>
  <c r="X215" i="4"/>
  <c r="V216" i="4"/>
  <c r="V226" i="4"/>
  <c r="X225" i="4"/>
  <c r="X190" i="4"/>
  <c r="V191" i="4"/>
  <c r="I31" i="6"/>
  <c r="C154" i="6" s="1"/>
  <c r="E29" i="6"/>
  <c r="C191" i="6"/>
  <c r="D153" i="6"/>
  <c r="C192" i="6"/>
  <c r="D62" i="8" l="1"/>
  <c r="F62" i="8" s="1"/>
  <c r="I62" i="8" s="1"/>
  <c r="D69" i="8"/>
  <c r="F69" i="8" s="1"/>
  <c r="I69" i="8" s="1"/>
  <c r="D64" i="8"/>
  <c r="E64" i="8" s="1"/>
  <c r="H64" i="8" s="1"/>
  <c r="D56" i="8"/>
  <c r="F56" i="8" s="1"/>
  <c r="I56" i="8" s="1"/>
  <c r="D54" i="8"/>
  <c r="E54" i="8" s="1"/>
  <c r="H54" i="8" s="1"/>
  <c r="D63" i="8"/>
  <c r="E63" i="8" s="1"/>
  <c r="H63" i="8" s="1"/>
  <c r="D60" i="8"/>
  <c r="E60" i="8" s="1"/>
  <c r="H60" i="8" s="1"/>
  <c r="D49" i="8"/>
  <c r="E49" i="8" s="1"/>
  <c r="H49" i="8" s="1"/>
  <c r="D55" i="8"/>
  <c r="F55" i="8" s="1"/>
  <c r="I55" i="8" s="1"/>
  <c r="D45" i="8"/>
  <c r="E45" i="8" s="1"/>
  <c r="H45" i="8" s="1"/>
  <c r="D43" i="8"/>
  <c r="E43" i="8" s="1"/>
  <c r="H43" i="8" s="1"/>
  <c r="D61" i="8"/>
  <c r="F61" i="8" s="1"/>
  <c r="I61" i="8" s="1"/>
  <c r="D47" i="8"/>
  <c r="E47" i="8" s="1"/>
  <c r="H47" i="8" s="1"/>
  <c r="D58" i="8"/>
  <c r="F58" i="8" s="1"/>
  <c r="I58" i="8" s="1"/>
  <c r="D48" i="8"/>
  <c r="F48" i="8" s="1"/>
  <c r="I48" i="8" s="1"/>
  <c r="D67" i="8"/>
  <c r="E67" i="8" s="1"/>
  <c r="H67" i="8" s="1"/>
  <c r="M14" i="6"/>
  <c r="F107" i="7" s="1"/>
  <c r="D51" i="8"/>
  <c r="E51" i="8" s="1"/>
  <c r="H51" i="8" s="1"/>
  <c r="D50" i="8"/>
  <c r="F50" i="8" s="1"/>
  <c r="I50" i="8" s="1"/>
  <c r="D44" i="8"/>
  <c r="E44" i="8" s="1"/>
  <c r="H44" i="8" s="1"/>
  <c r="D53" i="8"/>
  <c r="E53" i="8" s="1"/>
  <c r="H53" i="8" s="1"/>
  <c r="D46" i="8"/>
  <c r="F46" i="8" s="1"/>
  <c r="I46" i="8" s="1"/>
  <c r="D66" i="8"/>
  <c r="E66" i="8" s="1"/>
  <c r="H66" i="8" s="1"/>
  <c r="D68" i="8"/>
  <c r="F68" i="8" s="1"/>
  <c r="I68" i="8" s="1"/>
  <c r="D52" i="8"/>
  <c r="F52" i="8" s="1"/>
  <c r="I52" i="8" s="1"/>
  <c r="D57" i="8"/>
  <c r="E57" i="8" s="1"/>
  <c r="H57" i="8" s="1"/>
  <c r="D65" i="8"/>
  <c r="E65" i="8" s="1"/>
  <c r="H65" i="8" s="1"/>
  <c r="D59" i="8"/>
  <c r="E59" i="8" s="1"/>
  <c r="H59" i="8" s="1"/>
  <c r="E11" i="7"/>
  <c r="C11" i="8"/>
  <c r="H5" i="7"/>
  <c r="H41" i="7"/>
  <c r="E107" i="7"/>
  <c r="P15" i="6"/>
  <c r="E35" i="6"/>
  <c r="O22" i="6" s="1"/>
  <c r="O19" i="6" s="1"/>
  <c r="H28" i="6" s="1"/>
  <c r="C190" i="6" s="1"/>
  <c r="M22" i="6"/>
  <c r="C164" i="6"/>
  <c r="C165" i="6"/>
  <c r="AC5" i="3"/>
  <c r="P5" i="3"/>
  <c r="Q5" i="3" s="1"/>
  <c r="A6" i="3"/>
  <c r="B6" i="3" s="1"/>
  <c r="AC6" i="3" s="1"/>
  <c r="E110" i="7"/>
  <c r="C25" i="1"/>
  <c r="C32" i="1" s="1"/>
  <c r="K49" i="1" s="1"/>
  <c r="AA5" i="3"/>
  <c r="AD5" i="3"/>
  <c r="C204" i="6"/>
  <c r="Q194" i="4"/>
  <c r="O196" i="4"/>
  <c r="V111" i="4"/>
  <c r="X110" i="4"/>
  <c r="E128" i="6"/>
  <c r="D129" i="6"/>
  <c r="X200" i="4"/>
  <c r="V201" i="4"/>
  <c r="W226" i="4"/>
  <c r="X226" i="4"/>
  <c r="X191" i="4"/>
  <c r="W191" i="4"/>
  <c r="W216" i="4"/>
  <c r="X216" i="4"/>
  <c r="V236" i="4"/>
  <c r="X235" i="4"/>
  <c r="C153" i="6"/>
  <c r="F63" i="8" l="1"/>
  <c r="I63" i="8" s="1"/>
  <c r="M15" i="6"/>
  <c r="J42" i="7" s="1"/>
  <c r="E69" i="8"/>
  <c r="H69" i="8" s="1"/>
  <c r="E62" i="8"/>
  <c r="H62" i="8" s="1"/>
  <c r="F60" i="8"/>
  <c r="I60" i="8" s="1"/>
  <c r="E46" i="8"/>
  <c r="H46" i="8" s="1"/>
  <c r="E58" i="8"/>
  <c r="H58" i="8" s="1"/>
  <c r="F53" i="8"/>
  <c r="I53" i="8" s="1"/>
  <c r="F54" i="8"/>
  <c r="I54" i="8" s="1"/>
  <c r="F47" i="8"/>
  <c r="I47" i="8" s="1"/>
  <c r="F49" i="8"/>
  <c r="I49" i="8" s="1"/>
  <c r="E68" i="8"/>
  <c r="H68" i="8" s="1"/>
  <c r="F67" i="8"/>
  <c r="I67" i="8" s="1"/>
  <c r="F43" i="8"/>
  <c r="I43" i="8" s="1"/>
  <c r="F45" i="8"/>
  <c r="I45" i="8" s="1"/>
  <c r="F64" i="8"/>
  <c r="I64" i="8" s="1"/>
  <c r="E61" i="8"/>
  <c r="H61" i="8" s="1"/>
  <c r="E55" i="8"/>
  <c r="H55" i="8" s="1"/>
  <c r="E56" i="8"/>
  <c r="H56" i="8" s="1"/>
  <c r="E52" i="8"/>
  <c r="H52" i="8" s="1"/>
  <c r="E50" i="8"/>
  <c r="H50" i="8" s="1"/>
  <c r="J41" i="7"/>
  <c r="C11" i="1"/>
  <c r="S4" i="3" s="1"/>
  <c r="T4" i="3" s="1"/>
  <c r="U4" i="3" s="1"/>
  <c r="E58" i="7"/>
  <c r="H65" i="7" s="1"/>
  <c r="C12" i="8"/>
  <c r="F51" i="8"/>
  <c r="I51" i="8" s="1"/>
  <c r="F66" i="8"/>
  <c r="I66" i="8" s="1"/>
  <c r="F59" i="8"/>
  <c r="I59" i="8" s="1"/>
  <c r="E48" i="8"/>
  <c r="H48" i="8" s="1"/>
  <c r="F44" i="8"/>
  <c r="I44" i="8" s="1"/>
  <c r="F57" i="8"/>
  <c r="I57" i="8" s="1"/>
  <c r="F65" i="8"/>
  <c r="I65" i="8" s="1"/>
  <c r="N15" i="6"/>
  <c r="I42" i="7" s="1"/>
  <c r="H42" i="7"/>
  <c r="E108" i="7"/>
  <c r="D23" i="7"/>
  <c r="M19" i="6"/>
  <c r="H31" i="6" s="1"/>
  <c r="AA6" i="3"/>
  <c r="P29" i="1"/>
  <c r="A7" i="3"/>
  <c r="B7" i="3" s="1"/>
  <c r="P7" i="3" s="1"/>
  <c r="Q7" i="3" s="1"/>
  <c r="AD6" i="3"/>
  <c r="P6" i="3"/>
  <c r="Q6" i="3" s="1"/>
  <c r="H71" i="7"/>
  <c r="Z6" i="3"/>
  <c r="H68" i="7"/>
  <c r="H16" i="7"/>
  <c r="P28" i="1"/>
  <c r="H46" i="7"/>
  <c r="D152" i="6"/>
  <c r="H13" i="7"/>
  <c r="R194" i="4"/>
  <c r="P196" i="4"/>
  <c r="D213" i="4"/>
  <c r="F213" i="4" s="1"/>
  <c r="C194" i="6"/>
  <c r="D223" i="4"/>
  <c r="F223" i="4" s="1"/>
  <c r="X111" i="4"/>
  <c r="W111" i="4"/>
  <c r="D108" i="4" s="1"/>
  <c r="D188" i="4"/>
  <c r="F188" i="4" s="1"/>
  <c r="D130" i="6"/>
  <c r="E130" i="6" s="1"/>
  <c r="E129" i="6"/>
  <c r="S28" i="6"/>
  <c r="C193" i="6"/>
  <c r="X236" i="4"/>
  <c r="W236" i="4"/>
  <c r="W201" i="4"/>
  <c r="X201" i="4"/>
  <c r="D198" i="4" s="1"/>
  <c r="D2" i="4"/>
  <c r="B191" i="6" l="1"/>
  <c r="C149" i="6"/>
  <c r="F108" i="7"/>
  <c r="H29" i="6"/>
  <c r="H47" i="7" s="1"/>
  <c r="C155" i="6"/>
  <c r="I29" i="6"/>
  <c r="I47" i="7" s="1"/>
  <c r="C150" i="6"/>
  <c r="B192" i="6"/>
  <c r="B193" i="6"/>
  <c r="H32" i="6"/>
  <c r="I32" i="6"/>
  <c r="C157" i="6"/>
  <c r="C152" i="6"/>
  <c r="C151"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S194" i="4"/>
  <c r="Q196" i="4"/>
  <c r="F108" i="4"/>
  <c r="D233" i="4"/>
  <c r="F233" i="4" s="1"/>
  <c r="F2" i="4"/>
  <c r="H14" i="7" l="1"/>
  <c r="B194" i="6"/>
  <c r="B190" i="6"/>
  <c r="H30" i="6"/>
  <c r="H48" i="7" s="1"/>
  <c r="S29" i="6"/>
  <c r="I30" i="6"/>
  <c r="I48" i="7" s="1"/>
  <c r="I14" i="7"/>
  <c r="C156" i="6"/>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M50" i="8"/>
  <c r="R196" i="4"/>
  <c r="T194" i="4"/>
  <c r="H15" i="7" l="1"/>
  <c r="S30" i="6"/>
  <c r="H33" i="6"/>
  <c r="I15" i="7"/>
  <c r="L49" i="8"/>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M7" i="3" s="1"/>
  <c r="N7" i="3" s="1"/>
  <c r="S14" i="3"/>
  <c r="T13" i="3"/>
  <c r="AA18" i="3"/>
  <c r="P18" i="3"/>
  <c r="Q18" i="3" s="1"/>
  <c r="R18" i="3" s="1"/>
  <c r="AC18" i="3"/>
  <c r="A19" i="3"/>
  <c r="B19" i="3" s="1"/>
  <c r="AD18" i="3"/>
  <c r="Z18" i="3"/>
  <c r="J7" i="3" l="1"/>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D84" i="3"/>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AD184" i="3" l="1"/>
  <c r="Z184" i="3"/>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AD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AD222" i="3"/>
  <c r="U221" i="3"/>
  <c r="Y220" i="3"/>
  <c r="T222" i="3" l="1"/>
  <c r="AH222" i="3" s="1"/>
  <c r="E222" i="3" l="1"/>
  <c r="H222" i="3" s="1"/>
  <c r="AG222" i="3"/>
  <c r="D222" i="3"/>
  <c r="F222" i="3" l="1"/>
  <c r="G222" i="3"/>
  <c r="K222" i="3"/>
  <c r="AE222" i="3" s="1"/>
  <c r="I222" i="3" l="1"/>
  <c r="J222" i="3"/>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AD225" i="3"/>
  <c r="Z225" i="3"/>
  <c r="U224" i="3" l="1"/>
  <c r="Y223" i="3"/>
  <c r="T225" i="3"/>
  <c r="AG225" i="3" s="1"/>
  <c r="AH225" i="3" l="1"/>
  <c r="E225" i="3"/>
  <c r="H225" i="3" s="1"/>
  <c r="D225" i="3"/>
  <c r="K225" i="3" l="1"/>
  <c r="AE225" i="3" s="1"/>
  <c r="F225" i="3"/>
  <c r="G225" i="3"/>
  <c r="I225" i="3" l="1"/>
  <c r="J225" i="3"/>
  <c r="M225" i="3"/>
  <c r="N225" i="3" s="1"/>
  <c r="V225" i="3"/>
  <c r="A226" i="3"/>
  <c r="B226" i="3" s="1"/>
  <c r="W225" i="3" l="1"/>
  <c r="L225" i="3"/>
  <c r="AD226" i="3"/>
  <c r="Z226" i="3"/>
  <c r="AA226" i="3"/>
  <c r="P226" i="3"/>
  <c r="Q226" i="3" s="1"/>
  <c r="R226" i="3" s="1"/>
  <c r="S226" i="3" s="1"/>
  <c r="AC226" i="3"/>
  <c r="U225" i="3" l="1"/>
  <c r="Y224" i="3"/>
  <c r="T226" i="3"/>
  <c r="D226" i="3" l="1"/>
  <c r="G226" i="3" s="1"/>
  <c r="AH226" i="3"/>
  <c r="AG226" i="3"/>
  <c r="E226" i="3"/>
  <c r="H226" i="3" s="1"/>
  <c r="F226" i="3" l="1"/>
  <c r="I226" i="3"/>
  <c r="J226" i="3"/>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D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M229" i="3"/>
  <c r="N229" i="3" s="1"/>
  <c r="L229" i="3" l="1"/>
  <c r="W229" i="3"/>
  <c r="P230" i="3"/>
  <c r="Q230" i="3" s="1"/>
  <c r="R230" i="3" s="1"/>
  <c r="S230" i="3" s="1"/>
  <c r="AA230" i="3"/>
  <c r="AC230" i="3"/>
  <c r="AD230" i="3"/>
  <c r="Z230" i="3"/>
  <c r="U229" i="3" l="1"/>
  <c r="Y228" i="3"/>
  <c r="T230" i="3"/>
  <c r="AH230" i="3" s="1"/>
  <c r="AG230" i="3" l="1"/>
  <c r="D230" i="3"/>
  <c r="E230" i="3"/>
  <c r="H230" i="3" s="1"/>
  <c r="K230" i="3" l="1"/>
  <c r="AE230" i="3" s="1"/>
  <c r="F230" i="3"/>
  <c r="G230" i="3"/>
  <c r="I230" i="3" l="1"/>
  <c r="J230" i="3"/>
  <c r="M230" i="3"/>
  <c r="N230" i="3" s="1"/>
  <c r="V230" i="3"/>
  <c r="A231" i="3"/>
  <c r="B231" i="3" s="1"/>
  <c r="W230" i="3" l="1"/>
  <c r="L230" i="3"/>
  <c r="AD231"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M231" i="3"/>
  <c r="N231" i="3" s="1"/>
  <c r="L231" i="3" l="1"/>
  <c r="W231" i="3"/>
  <c r="P232" i="3"/>
  <c r="Q232" i="3" s="1"/>
  <c r="R232" i="3" s="1"/>
  <c r="S232" i="3" s="1"/>
  <c r="AD232" i="3"/>
  <c r="Z232" i="3"/>
  <c r="AA232" i="3"/>
  <c r="AC232" i="3"/>
  <c r="U231" i="3" l="1"/>
  <c r="Y230" i="3"/>
  <c r="T232" i="3"/>
  <c r="D232" i="3" l="1"/>
  <c r="G232" i="3" s="1"/>
  <c r="AG232" i="3"/>
  <c r="E232" i="3"/>
  <c r="H232" i="3" s="1"/>
  <c r="AH232" i="3"/>
  <c r="F232" i="3" l="1"/>
  <c r="I232" i="3"/>
  <c r="J232" i="3"/>
  <c r="M232" i="3"/>
  <c r="N232" i="3" s="1"/>
  <c r="K232" i="3"/>
  <c r="AE232" i="3" s="1"/>
  <c r="V232" i="3" l="1"/>
  <c r="W232" i="3" s="1"/>
  <c r="A233" i="3"/>
  <c r="B233" i="3" s="1"/>
  <c r="L232" i="3"/>
  <c r="U232" i="3" l="1"/>
  <c r="Y231" i="3"/>
  <c r="AA233" i="3"/>
  <c r="AD233" i="3"/>
  <c r="AC233" i="3"/>
  <c r="P233" i="3"/>
  <c r="Q233" i="3" s="1"/>
  <c r="R233" i="3" s="1"/>
  <c r="S233" i="3" s="1"/>
  <c r="Z233" i="3"/>
  <c r="T233" i="3" l="1"/>
  <c r="D233" i="3" s="1"/>
  <c r="AG233" i="3" l="1"/>
  <c r="AH233" i="3"/>
  <c r="E233" i="3"/>
  <c r="H233" i="3" s="1"/>
  <c r="K233" i="3" s="1"/>
  <c r="AE233" i="3" s="1"/>
  <c r="G233" i="3"/>
  <c r="F233" i="3" l="1"/>
  <c r="I233" i="3"/>
  <c r="J233" i="3"/>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D242" i="3"/>
  <c r="AC242" i="3"/>
  <c r="T242" i="3" l="1"/>
  <c r="D242" i="3" s="1"/>
  <c r="E242" i="3" l="1"/>
  <c r="H242" i="3" s="1"/>
  <c r="K242" i="3" s="1"/>
  <c r="AE242" i="3" s="1"/>
  <c r="G242" i="3"/>
  <c r="AH242" i="3"/>
  <c r="AG242" i="3"/>
  <c r="F242" i="3" l="1"/>
  <c r="I242" i="3"/>
  <c r="J242" i="3"/>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AD252"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AD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AD272" i="3"/>
  <c r="Z272" i="3"/>
  <c r="AA272" i="3"/>
  <c r="P272" i="3"/>
  <c r="Q272" i="3" s="1"/>
  <c r="R272" i="3" s="1"/>
  <c r="S272" i="3" s="1"/>
  <c r="AC272" i="3"/>
  <c r="T272" i="3" l="1"/>
  <c r="U271" i="3"/>
  <c r="Y270" i="3"/>
  <c r="D272" i="3" l="1"/>
  <c r="G272" i="3" s="1"/>
  <c r="E272" i="3"/>
  <c r="H272" i="3" s="1"/>
  <c r="K272" i="3" s="1"/>
  <c r="AE272" i="3" s="1"/>
  <c r="AG272" i="3"/>
  <c r="AH272" i="3"/>
  <c r="F272" i="3" l="1"/>
  <c r="I272" i="3"/>
  <c r="J272" i="3"/>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AD282" i="3"/>
  <c r="P282" i="3"/>
  <c r="Q282" i="3" s="1"/>
  <c r="R282" i="3" s="1"/>
  <c r="S282" i="3" s="1"/>
  <c r="AA282" i="3"/>
  <c r="U281" i="3" l="1"/>
  <c r="Y280" i="3"/>
  <c r="T282" i="3"/>
  <c r="D282" i="3" l="1"/>
  <c r="G282" i="3" s="1"/>
  <c r="E282" i="3"/>
  <c r="H282" i="3" s="1"/>
  <c r="AH282" i="3"/>
  <c r="AG282" i="3"/>
  <c r="F282" i="3" l="1"/>
  <c r="I282" i="3"/>
  <c r="J282" i="3"/>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D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AD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L302" i="3" s="1"/>
  <c r="AD303" i="3"/>
  <c r="Z303" i="3"/>
  <c r="P303" i="3"/>
  <c r="Q303" i="3" s="1"/>
  <c r="R303" i="3" s="1"/>
  <c r="S303" i="3" s="1"/>
  <c r="AA303" i="3"/>
  <c r="AC303" i="3"/>
  <c r="T303" i="3" l="1"/>
  <c r="U302" i="3"/>
  <c r="Y301" i="3"/>
  <c r="E303" i="3" l="1"/>
  <c r="H303" i="3" s="1"/>
  <c r="K303" i="3" s="1"/>
  <c r="AE303" i="3" s="1"/>
  <c r="D303" i="3"/>
  <c r="G303" i="3" s="1"/>
  <c r="AH303" i="3"/>
  <c r="AG303" i="3"/>
  <c r="F303" i="3" l="1"/>
  <c r="I303" i="3"/>
  <c r="J303" i="3"/>
  <c r="M303" i="3"/>
  <c r="N303" i="3" s="1"/>
  <c r="V303" i="3"/>
  <c r="A304" i="3"/>
  <c r="B304" i="3" s="1"/>
  <c r="W303" i="3" l="1"/>
  <c r="L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AD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D322" i="3"/>
  <c r="AA322" i="3"/>
  <c r="T322" i="3" l="1"/>
  <c r="AH322" i="3" s="1"/>
  <c r="E322" i="3" l="1"/>
  <c r="H322" i="3" s="1"/>
  <c r="K322" i="3" s="1"/>
  <c r="AE322" i="3" s="1"/>
  <c r="AG322" i="3"/>
  <c r="D322" i="3"/>
  <c r="V322" i="3" l="1"/>
  <c r="A323" i="3"/>
  <c r="B323" i="3" s="1"/>
  <c r="F322" i="3"/>
  <c r="G322" i="3"/>
  <c r="I322" i="3" l="1"/>
  <c r="W322" i="3" s="1"/>
  <c r="J322" i="3"/>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AD372" i="3"/>
  <c r="L371" i="3" l="1"/>
  <c r="T372" i="3"/>
  <c r="U371" i="3" l="1"/>
  <c r="E372" i="3" s="1"/>
  <c r="H372" i="3" s="1"/>
  <c r="AG372" i="3"/>
  <c r="AH372" i="3"/>
  <c r="Y370" i="3"/>
  <c r="D372" i="3" l="1"/>
  <c r="F372" i="3" s="1"/>
  <c r="K372" i="3"/>
  <c r="AE372" i="3" s="1"/>
  <c r="G372" i="3" l="1"/>
  <c r="M372" i="3" s="1"/>
  <c r="N372" i="3" s="1"/>
  <c r="V372" i="3"/>
  <c r="A373" i="3"/>
  <c r="B373" i="3" s="1"/>
  <c r="J372" i="3" l="1"/>
  <c r="L372" i="3" s="1"/>
  <c r="I372" i="3"/>
  <c r="W372" i="3" s="1"/>
  <c r="AD373" i="3"/>
  <c r="Z373" i="3"/>
  <c r="AC373" i="3"/>
  <c r="P373" i="3"/>
  <c r="Q373" i="3" s="1"/>
  <c r="R373" i="3" s="1"/>
  <c r="S373" i="3" s="1"/>
  <c r="AA373" i="3"/>
  <c r="U372" i="3" l="1"/>
  <c r="Y371" i="3"/>
  <c r="T373" i="3"/>
  <c r="AH373" i="3" s="1"/>
  <c r="D373" i="3" l="1"/>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D382" i="3"/>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M382" i="3"/>
  <c r="N382" i="3" s="1"/>
  <c r="V382" i="3"/>
  <c r="A383" i="3"/>
  <c r="B383" i="3" s="1"/>
  <c r="W382" i="3" l="1"/>
  <c r="L382" i="3"/>
  <c r="AD383"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AD385" i="3"/>
  <c r="Z385" i="3"/>
  <c r="AC385" i="3"/>
  <c r="AA385" i="3"/>
  <c r="U384" i="3" l="1"/>
  <c r="Y383" i="3"/>
  <c r="T385" i="3"/>
  <c r="AG385" i="3" s="1"/>
  <c r="D385" i="3" l="1"/>
  <c r="G385" i="3" s="1"/>
  <c r="E385" i="3"/>
  <c r="H385" i="3" s="1"/>
  <c r="K385" i="3" s="1"/>
  <c r="AE385" i="3" s="1"/>
  <c r="AH385" i="3"/>
  <c r="F385" i="3" l="1"/>
  <c r="V385" i="3"/>
  <c r="A386" i="3"/>
  <c r="B386" i="3" s="1"/>
  <c r="I385" i="3"/>
  <c r="J385" i="3"/>
  <c r="M385" i="3"/>
  <c r="N385" i="3" s="1"/>
  <c r="L385" i="3" l="1"/>
  <c r="W385" i="3"/>
  <c r="AC386" i="3"/>
  <c r="P386" i="3"/>
  <c r="Q386" i="3" s="1"/>
  <c r="R386" i="3" s="1"/>
  <c r="S386" i="3" s="1"/>
  <c r="AA386" i="3"/>
  <c r="AD386" i="3"/>
  <c r="Z386" i="3"/>
  <c r="T386" i="3" l="1"/>
  <c r="AH386" i="3" s="1"/>
  <c r="U385" i="3"/>
  <c r="Y384" i="3"/>
  <c r="D386" i="3" l="1"/>
  <c r="E386" i="3"/>
  <c r="H386" i="3" s="1"/>
  <c r="AG386" i="3"/>
  <c r="F386" i="3" l="1"/>
  <c r="G386" i="3"/>
  <c r="K386" i="3"/>
  <c r="AE386" i="3" s="1"/>
  <c r="I386" i="3" l="1"/>
  <c r="J386" i="3"/>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AD392" i="3"/>
  <c r="Z392" i="3"/>
  <c r="P392" i="3"/>
  <c r="Q392" i="3" s="1"/>
  <c r="R392" i="3" s="1"/>
  <c r="S392" i="3" s="1"/>
  <c r="AA392" i="3"/>
  <c r="AC392" i="3"/>
  <c r="T392" i="3" l="1"/>
  <c r="L391" i="3"/>
  <c r="U391" i="3" l="1"/>
  <c r="D392" i="3" s="1"/>
  <c r="AH392" i="3"/>
  <c r="AG392" i="3"/>
  <c r="Y390" i="3"/>
  <c r="G392" i="3" l="1"/>
  <c r="E392" i="3"/>
  <c r="H392" i="3" s="1"/>
  <c r="F392" i="3" l="1"/>
  <c r="I392" i="3"/>
  <c r="J392" i="3"/>
  <c r="M392" i="3"/>
  <c r="N392" i="3" s="1"/>
  <c r="K392" i="3"/>
  <c r="AE392" i="3" s="1"/>
  <c r="V392" i="3" l="1"/>
  <c r="W392" i="3" s="1"/>
  <c r="A393" i="3"/>
  <c r="B393" i="3" s="1"/>
  <c r="L392" i="3"/>
  <c r="U392" i="3" l="1"/>
  <c r="Y391" i="3"/>
  <c r="AD393"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D395"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M395" i="3"/>
  <c r="N395" i="3" s="1"/>
  <c r="W395" i="3" l="1"/>
  <c r="L395" i="3"/>
  <c r="AA396" i="3"/>
  <c r="Z396" i="3"/>
  <c r="P396" i="3"/>
  <c r="Q396" i="3" s="1"/>
  <c r="R396" i="3" s="1"/>
  <c r="S396" i="3" s="1"/>
  <c r="AD396" i="3"/>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D399" i="3"/>
  <c r="AA399" i="3"/>
  <c r="AC399" i="3"/>
  <c r="U398" i="3" l="1"/>
  <c r="Y397" i="3"/>
  <c r="T399" i="3"/>
  <c r="AH399" i="3" s="1"/>
  <c r="D399" i="3" l="1"/>
  <c r="G399" i="3" s="1"/>
  <c r="AG399" i="3"/>
  <c r="E399" i="3"/>
  <c r="H399" i="3" s="1"/>
  <c r="F399" i="3" l="1"/>
  <c r="I399" i="3"/>
  <c r="J399" i="3"/>
  <c r="M399" i="3"/>
  <c r="N399" i="3" s="1"/>
  <c r="K399" i="3"/>
  <c r="AE399" i="3" s="1"/>
  <c r="V399" i="3" l="1"/>
  <c r="W399" i="3" s="1"/>
  <c r="A400" i="3"/>
  <c r="B400" i="3" s="1"/>
  <c r="L399" i="3"/>
  <c r="U399" i="3" l="1"/>
  <c r="Y398" i="3"/>
  <c r="AD400"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M400" i="3"/>
  <c r="N400" i="3" s="1"/>
  <c r="W400" i="3" l="1"/>
  <c r="L400" i="3"/>
  <c r="AA401" i="3"/>
  <c r="Z401" i="3"/>
  <c r="AC401" i="3"/>
  <c r="AD401" i="3"/>
  <c r="P401" i="3"/>
  <c r="Q401" i="3" s="1"/>
  <c r="R401" i="3" s="1"/>
  <c r="S401" i="3" s="1"/>
  <c r="U400" i="3" l="1"/>
  <c r="Y399" i="3"/>
  <c r="T401" i="3"/>
  <c r="AG401" i="3" s="1"/>
  <c r="D401" i="3" l="1"/>
  <c r="E401" i="3"/>
  <c r="H401" i="3" s="1"/>
  <c r="K401" i="3" s="1"/>
  <c r="AE401" i="3" s="1"/>
  <c r="AH401" i="3"/>
  <c r="F401" i="3" l="1"/>
  <c r="G401" i="3"/>
  <c r="J401" i="3" s="1"/>
  <c r="V401" i="3"/>
  <c r="A402" i="3"/>
  <c r="B402" i="3" s="1"/>
  <c r="M401" i="3" l="1"/>
  <c r="N401" i="3" s="1"/>
  <c r="I401" i="3"/>
  <c r="W401" i="3" s="1"/>
  <c r="L401" i="3"/>
  <c r="AA402" i="3"/>
  <c r="AC402" i="3"/>
  <c r="Z402" i="3"/>
  <c r="AD402" i="3"/>
  <c r="P402" i="3"/>
  <c r="Q402" i="3" s="1"/>
  <c r="R402" i="3" s="1"/>
  <c r="S402" i="3" s="1"/>
  <c r="U401" i="3" l="1"/>
  <c r="Y400" i="3"/>
  <c r="T402" i="3"/>
  <c r="AG402" i="3" s="1"/>
  <c r="AH402" i="3" l="1"/>
  <c r="E402" i="3"/>
  <c r="H402" i="3" s="1"/>
  <c r="K402" i="3" s="1"/>
  <c r="AE402" i="3" s="1"/>
  <c r="D402" i="3"/>
  <c r="G402" i="3" s="1"/>
  <c r="F402" i="3" l="1"/>
  <c r="I402" i="3"/>
  <c r="J402" i="3"/>
  <c r="M402" i="3"/>
  <c r="N402" i="3" s="1"/>
  <c r="V402" i="3"/>
  <c r="A403" i="3"/>
  <c r="B403" i="3" s="1"/>
  <c r="W402" i="3" l="1"/>
  <c r="L402" i="3"/>
  <c r="AC403" i="3"/>
  <c r="AA403" i="3"/>
  <c r="P403" i="3"/>
  <c r="Q403" i="3" s="1"/>
  <c r="R403" i="3" s="1"/>
  <c r="S403" i="3" s="1"/>
  <c r="Z403" i="3"/>
  <c r="AD403" i="3"/>
  <c r="T403" i="3" l="1"/>
  <c r="AH403" i="3" s="1"/>
  <c r="U402" i="3"/>
  <c r="Y401" i="3"/>
  <c r="AG403" i="3" l="1"/>
  <c r="D403" i="3"/>
  <c r="E403" i="3"/>
  <c r="H403" i="3" s="1"/>
  <c r="F403" i="3" l="1"/>
  <c r="G403" i="3"/>
  <c r="K403" i="3"/>
  <c r="AE403" i="3" s="1"/>
  <c r="V403" i="3" l="1"/>
  <c r="A404" i="3"/>
  <c r="B404" i="3" s="1"/>
  <c r="I403" i="3"/>
  <c r="J403" i="3"/>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D405" i="3"/>
  <c r="AA405" i="3"/>
  <c r="U404" i="3" l="1"/>
  <c r="Y403" i="3"/>
  <c r="T405" i="3"/>
  <c r="E405" i="3" l="1"/>
  <c r="H405" i="3" s="1"/>
  <c r="K405" i="3" s="1"/>
  <c r="AE405" i="3" s="1"/>
  <c r="AH405" i="3"/>
  <c r="D405" i="3"/>
  <c r="AG405" i="3"/>
  <c r="F405" i="3" l="1"/>
  <c r="G405" i="3"/>
  <c r="V405" i="3"/>
  <c r="A406" i="3"/>
  <c r="B406" i="3" s="1"/>
  <c r="AD406" i="3" l="1"/>
  <c r="AA406" i="3"/>
  <c r="AC406" i="3"/>
  <c r="Z406" i="3"/>
  <c r="P406" i="3"/>
  <c r="Q406" i="3" s="1"/>
  <c r="R406" i="3" s="1"/>
  <c r="S406" i="3" s="1"/>
  <c r="I405" i="3"/>
  <c r="W405" i="3" s="1"/>
  <c r="J405" i="3"/>
  <c r="M405" i="3"/>
  <c r="N405" i="3" s="1"/>
  <c r="T406" i="3" l="1"/>
  <c r="L405" i="3"/>
  <c r="U405" i="3" l="1"/>
  <c r="E406" i="3" s="1"/>
  <c r="H406" i="3" s="1"/>
  <c r="AH406" i="3"/>
  <c r="AG406" i="3"/>
  <c r="Y404" i="3"/>
  <c r="K406" i="3" l="1"/>
  <c r="AE406" i="3" s="1"/>
  <c r="D406" i="3"/>
  <c r="V406" i="3" l="1"/>
  <c r="A407" i="3"/>
  <c r="B407" i="3" s="1"/>
  <c r="F406" i="3"/>
  <c r="G406" i="3"/>
  <c r="I406" i="3" l="1"/>
  <c r="W406" i="3" s="1"/>
  <c r="J406" i="3"/>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AD409" i="3"/>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AD410" i="3"/>
  <c r="Z410" i="3"/>
  <c r="I409" i="3"/>
  <c r="W409" i="3" s="1"/>
  <c r="J409" i="3"/>
  <c r="M409" i="3"/>
  <c r="N409" i="3" s="1"/>
  <c r="T410" i="3" l="1"/>
  <c r="L409" i="3"/>
  <c r="AG410" i="3" l="1"/>
  <c r="U409" i="3"/>
  <c r="D410" i="3" s="1"/>
  <c r="AH410" i="3"/>
  <c r="Y408" i="3"/>
  <c r="E410" i="3" l="1"/>
  <c r="H410" i="3" s="1"/>
  <c r="K410" i="3" s="1"/>
  <c r="AE410" i="3" s="1"/>
  <c r="G410" i="3"/>
  <c r="F410" i="3" l="1"/>
  <c r="I410" i="3"/>
  <c r="J410" i="3"/>
  <c r="M410" i="3"/>
  <c r="N410" i="3" s="1"/>
  <c r="V410" i="3"/>
  <c r="A411" i="3"/>
  <c r="B411" i="3" s="1"/>
  <c r="W410" i="3" l="1"/>
  <c r="L410" i="3"/>
  <c r="AC411" i="3"/>
  <c r="P411" i="3"/>
  <c r="Q411" i="3" s="1"/>
  <c r="R411" i="3" s="1"/>
  <c r="S411" i="3" s="1"/>
  <c r="AA411" i="3"/>
  <c r="Z411" i="3"/>
  <c r="AD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AD412" i="3"/>
  <c r="I411" i="3"/>
  <c r="W411" i="3" s="1"/>
  <c r="J411" i="3"/>
  <c r="M411" i="3"/>
  <c r="N411" i="3" s="1"/>
  <c r="T412" i="3" l="1"/>
  <c r="L411" i="3"/>
  <c r="U411" i="3" l="1"/>
  <c r="D412" i="3" s="1"/>
  <c r="AG412" i="3"/>
  <c r="AH412" i="3"/>
  <c r="Y410" i="3"/>
  <c r="G412" i="3" l="1"/>
  <c r="E412" i="3"/>
  <c r="H412" i="3" s="1"/>
  <c r="F412" i="3" l="1"/>
  <c r="I412" i="3"/>
  <c r="J412" i="3"/>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AD425" i="3"/>
  <c r="U424" i="3" l="1"/>
  <c r="Y423" i="3"/>
  <c r="T425" i="3"/>
  <c r="E425" i="3" l="1"/>
  <c r="H425" i="3" s="1"/>
  <c r="K425" i="3" s="1"/>
  <c r="AE425" i="3" s="1"/>
  <c r="D425" i="3"/>
  <c r="G425" i="3" s="1"/>
  <c r="AH425" i="3"/>
  <c r="AG425" i="3"/>
  <c r="F425" i="3" l="1"/>
  <c r="I425" i="3"/>
  <c r="J425" i="3"/>
  <c r="M425" i="3"/>
  <c r="N425" i="3" s="1"/>
  <c r="V425" i="3"/>
  <c r="A426" i="3"/>
  <c r="B426" i="3" s="1"/>
  <c r="L425" i="3" l="1"/>
  <c r="W425" i="3"/>
  <c r="P426" i="3"/>
  <c r="Q426" i="3" s="1"/>
  <c r="R426" i="3" s="1"/>
  <c r="S426" i="3" s="1"/>
  <c r="AA426" i="3"/>
  <c r="AD426" i="3"/>
  <c r="Z426" i="3"/>
  <c r="AC426" i="3"/>
  <c r="U425" i="3" l="1"/>
  <c r="Y424" i="3"/>
  <c r="T426" i="3"/>
  <c r="AH426" i="3" s="1"/>
  <c r="E426" i="3" l="1"/>
  <c r="H426" i="3" s="1"/>
  <c r="D426" i="3"/>
  <c r="AG426" i="3"/>
  <c r="K426" i="3" l="1"/>
  <c r="AE426" i="3" s="1"/>
  <c r="F426" i="3"/>
  <c r="G426" i="3"/>
  <c r="V426" i="3" l="1"/>
  <c r="A427" i="3"/>
  <c r="B427" i="3" s="1"/>
  <c r="I426" i="3"/>
  <c r="J426" i="3"/>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AD429" i="3"/>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M429" i="3"/>
  <c r="N429" i="3" s="1"/>
  <c r="V429" i="3"/>
  <c r="A430" i="3"/>
  <c r="B430" i="3" s="1"/>
  <c r="L429" i="3" l="1"/>
  <c r="W429" i="3"/>
  <c r="AA430" i="3"/>
  <c r="Z430" i="3"/>
  <c r="P430" i="3"/>
  <c r="Q430" i="3" s="1"/>
  <c r="R430" i="3" s="1"/>
  <c r="S430" i="3" s="1"/>
  <c r="AC430" i="3"/>
  <c r="AD430" i="3"/>
  <c r="U429" i="3" l="1"/>
  <c r="Y428" i="3"/>
  <c r="T430" i="3"/>
  <c r="D430" i="3" l="1"/>
  <c r="G430" i="3" s="1"/>
  <c r="AH430" i="3"/>
  <c r="E430" i="3"/>
  <c r="H430" i="3" s="1"/>
  <c r="AG430" i="3"/>
  <c r="F430" i="3" l="1"/>
  <c r="I430" i="3"/>
  <c r="J430" i="3"/>
  <c r="M430" i="3"/>
  <c r="N430" i="3" s="1"/>
  <c r="K430" i="3"/>
  <c r="AE430" i="3" s="1"/>
  <c r="V430" i="3" l="1"/>
  <c r="W430" i="3" s="1"/>
  <c r="A431" i="3"/>
  <c r="B431" i="3" s="1"/>
  <c r="L430" i="3"/>
  <c r="U430" i="3" l="1"/>
  <c r="Y429" i="3"/>
  <c r="AC431" i="3"/>
  <c r="Z431" i="3"/>
  <c r="P431" i="3"/>
  <c r="Q431" i="3" s="1"/>
  <c r="R431" i="3" s="1"/>
  <c r="S431" i="3" s="1"/>
  <c r="AA431" i="3"/>
  <c r="AD431" i="3"/>
  <c r="T431" i="3" l="1"/>
  <c r="AH431" i="3" s="1"/>
  <c r="E431" i="3" l="1"/>
  <c r="H431" i="3" s="1"/>
  <c r="AG431" i="3"/>
  <c r="D431" i="3"/>
  <c r="K431" i="3" l="1"/>
  <c r="AE431" i="3" s="1"/>
  <c r="F431" i="3"/>
  <c r="G431" i="3"/>
  <c r="V431" i="3" l="1"/>
  <c r="A432" i="3"/>
  <c r="B432" i="3" s="1"/>
  <c r="I431" i="3"/>
  <c r="J431" i="3"/>
  <c r="M431" i="3"/>
  <c r="N431" i="3" s="1"/>
  <c r="W431" i="3" l="1"/>
  <c r="L431" i="3"/>
  <c r="AA432" i="3"/>
  <c r="P432" i="3"/>
  <c r="Q432" i="3" s="1"/>
  <c r="R432" i="3" s="1"/>
  <c r="S432" i="3" s="1"/>
  <c r="AC432" i="3"/>
  <c r="Z432" i="3"/>
  <c r="AD432" i="3"/>
  <c r="T432" i="3" l="1"/>
  <c r="AH432" i="3" s="1"/>
  <c r="U431" i="3"/>
  <c r="Y430" i="3"/>
  <c r="AG432" i="3" l="1"/>
  <c r="E432" i="3"/>
  <c r="H432" i="3" s="1"/>
  <c r="D432" i="3"/>
  <c r="K432" i="3" l="1"/>
  <c r="AE432" i="3" s="1"/>
  <c r="F432" i="3"/>
  <c r="G432" i="3"/>
  <c r="I432" i="3" l="1"/>
  <c r="J432" i="3"/>
  <c r="M432" i="3"/>
  <c r="N432" i="3" s="1"/>
  <c r="V432" i="3"/>
  <c r="A433" i="3"/>
  <c r="B433" i="3" s="1"/>
  <c r="W432" i="3" l="1"/>
  <c r="L432" i="3"/>
  <c r="P433" i="3"/>
  <c r="Q433" i="3" s="1"/>
  <c r="R433" i="3" s="1"/>
  <c r="S433" i="3" s="1"/>
  <c r="AC433" i="3"/>
  <c r="Z433" i="3"/>
  <c r="AA433" i="3"/>
  <c r="AD433" i="3"/>
  <c r="U432" i="3" l="1"/>
  <c r="Y431" i="3"/>
  <c r="T433" i="3"/>
  <c r="E433" i="3" l="1"/>
  <c r="H433" i="3" s="1"/>
  <c r="K433" i="3" s="1"/>
  <c r="AE433" i="3" s="1"/>
  <c r="D433" i="3"/>
  <c r="AG433" i="3"/>
  <c r="AH433" i="3"/>
  <c r="F433" i="3" l="1"/>
  <c r="G433" i="3"/>
  <c r="M433" i="3" s="1"/>
  <c r="N433" i="3" s="1"/>
  <c r="V433" i="3"/>
  <c r="A434" i="3"/>
  <c r="B434" i="3" s="1"/>
  <c r="I433" i="3" l="1"/>
  <c r="W433" i="3" s="1"/>
  <c r="J433" i="3"/>
  <c r="L433" i="3" s="1"/>
  <c r="P434" i="3"/>
  <c r="Q434" i="3" s="1"/>
  <c r="R434" i="3" s="1"/>
  <c r="S434" i="3" s="1"/>
  <c r="Z434" i="3"/>
  <c r="AA434" i="3"/>
  <c r="AC434" i="3"/>
  <c r="U433" i="3" l="1"/>
  <c r="Y432" i="3"/>
  <c r="T434" i="3"/>
  <c r="AH434" i="3" s="1"/>
  <c r="E434" i="3" l="1"/>
  <c r="H434" i="3" s="1"/>
  <c r="K434" i="3" s="1"/>
  <c r="AE434" i="3" s="1"/>
  <c r="AG434" i="3"/>
  <c r="D434" i="3"/>
  <c r="F434" i="3" l="1"/>
  <c r="G434" i="3"/>
  <c r="M434" i="3" s="1"/>
  <c r="N434" i="3" s="1"/>
  <c r="V434" i="3"/>
  <c r="A435" i="3"/>
  <c r="B435" i="3" s="1"/>
  <c r="I434" i="3" l="1"/>
  <c r="W434" i="3" s="1"/>
  <c r="J434" i="3"/>
  <c r="P435" i="3"/>
  <c r="Q435" i="3" s="1"/>
  <c r="R435" i="3" s="1"/>
  <c r="S435" i="3" s="1"/>
  <c r="AA435" i="3"/>
  <c r="AD435" i="3"/>
  <c r="AC435" i="3"/>
  <c r="Z435" i="3"/>
  <c r="L434" i="3" l="1"/>
  <c r="Y433" i="3" s="1"/>
  <c r="AD434" i="3"/>
  <c r="T435" i="3"/>
  <c r="U434" i="3" l="1"/>
  <c r="E435" i="3" s="1"/>
  <c r="H435" i="3" s="1"/>
  <c r="AG435" i="3"/>
  <c r="AH435" i="3"/>
  <c r="D435" i="3" l="1"/>
  <c r="G435" i="3" s="1"/>
  <c r="I435" i="3" s="1"/>
  <c r="K435" i="3"/>
  <c r="AE435" i="3" s="1"/>
  <c r="J435" i="3" l="1"/>
  <c r="L435" i="3" s="1"/>
  <c r="M435" i="3"/>
  <c r="N435" i="3" s="1"/>
  <c r="F435" i="3"/>
  <c r="V435" i="3"/>
  <c r="W435" i="3" s="1"/>
  <c r="A436" i="3"/>
  <c r="B436" i="3" s="1"/>
  <c r="AC436" i="3" l="1"/>
  <c r="Z436" i="3"/>
  <c r="P436" i="3"/>
  <c r="Q436" i="3" s="1"/>
  <c r="R436" i="3" s="1"/>
  <c r="S436" i="3" s="1"/>
  <c r="AA436" i="3"/>
  <c r="AD436" i="3"/>
  <c r="U435" i="3"/>
  <c r="Y434" i="3"/>
  <c r="T436" i="3" l="1"/>
  <c r="E436" i="3" l="1"/>
  <c r="H436" i="3" s="1"/>
  <c r="D436" i="3"/>
  <c r="AH436" i="3"/>
  <c r="AG436" i="3"/>
  <c r="F436" i="3" l="1"/>
  <c r="G436" i="3"/>
  <c r="K436" i="3"/>
  <c r="AE436" i="3" s="1"/>
  <c r="I436" i="3" l="1"/>
  <c r="J436" i="3"/>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D439" i="3"/>
  <c r="AC439" i="3"/>
  <c r="AA439" i="3"/>
  <c r="T439" i="3" l="1"/>
  <c r="L438" i="3"/>
  <c r="AG439" i="3" l="1"/>
  <c r="AH439" i="3"/>
  <c r="U438" i="3"/>
  <c r="E439" i="3" s="1"/>
  <c r="H439" i="3" s="1"/>
  <c r="Y437" i="3"/>
  <c r="D439" i="3" l="1"/>
  <c r="G439" i="3" s="1"/>
  <c r="K439" i="3"/>
  <c r="AE439" i="3" s="1"/>
  <c r="F439" i="3" l="1"/>
  <c r="V439" i="3"/>
  <c r="A440" i="3"/>
  <c r="B440" i="3" s="1"/>
  <c r="I439" i="3"/>
  <c r="J439" i="3"/>
  <c r="M439" i="3"/>
  <c r="N439" i="3" s="1"/>
  <c r="W439" i="3" l="1"/>
  <c r="L439" i="3"/>
  <c r="Z440" i="3"/>
  <c r="AC440" i="3"/>
  <c r="P440" i="3"/>
  <c r="Q440" i="3" s="1"/>
  <c r="R440" i="3" s="1"/>
  <c r="S440" i="3" s="1"/>
  <c r="AA440" i="3"/>
  <c r="AD440" i="3"/>
  <c r="T440" i="3" l="1"/>
  <c r="AH440" i="3" s="1"/>
  <c r="U439" i="3"/>
  <c r="Y438" i="3"/>
  <c r="AG440" i="3" l="1"/>
  <c r="D440" i="3"/>
  <c r="E440" i="3"/>
  <c r="H440" i="3" s="1"/>
  <c r="K440" i="3" l="1"/>
  <c r="AE440" i="3" s="1"/>
  <c r="F440" i="3"/>
  <c r="G440" i="3"/>
  <c r="I440" i="3" l="1"/>
  <c r="J440" i="3"/>
  <c r="M440" i="3"/>
  <c r="N440" i="3" s="1"/>
  <c r="V440" i="3"/>
  <c r="A441" i="3"/>
  <c r="B441" i="3" s="1"/>
  <c r="W440" i="3" l="1"/>
  <c r="L440" i="3"/>
  <c r="P441" i="3"/>
  <c r="Q441" i="3" s="1"/>
  <c r="R441" i="3" s="1"/>
  <c r="S441" i="3" s="1"/>
  <c r="AD441" i="3"/>
  <c r="AC441" i="3"/>
  <c r="Z441" i="3"/>
  <c r="AA441" i="3"/>
  <c r="T441" i="3" l="1"/>
  <c r="AH441" i="3" s="1"/>
  <c r="U440" i="3"/>
  <c r="Y439" i="3"/>
  <c r="E441" i="3" l="1"/>
  <c r="H441" i="3" s="1"/>
  <c r="K441" i="3" s="1"/>
  <c r="AE441" i="3" s="1"/>
  <c r="AG441" i="3"/>
  <c r="D441" i="3"/>
  <c r="V441" i="3" l="1"/>
  <c r="A442" i="3"/>
  <c r="B442" i="3" s="1"/>
  <c r="F441" i="3"/>
  <c r="G441" i="3"/>
  <c r="I441" i="3" l="1"/>
  <c r="W441" i="3" s="1"/>
  <c r="J441" i="3"/>
  <c r="M441" i="3"/>
  <c r="N441" i="3" s="1"/>
  <c r="AC442" i="3"/>
  <c r="AD442" i="3"/>
  <c r="AA442" i="3"/>
  <c r="P442" i="3"/>
  <c r="Q442" i="3" s="1"/>
  <c r="R442" i="3" s="1"/>
  <c r="S442" i="3" s="1"/>
  <c r="Z442" i="3"/>
  <c r="T442" i="3" l="1"/>
  <c r="L441" i="3"/>
  <c r="U441" i="3" l="1"/>
  <c r="D442" i="3" s="1"/>
  <c r="AH442" i="3"/>
  <c r="AG442" i="3"/>
  <c r="Y440" i="3"/>
  <c r="G442" i="3" l="1"/>
  <c r="E442" i="3"/>
  <c r="H442" i="3" s="1"/>
  <c r="I442" i="3" l="1"/>
  <c r="J442" i="3"/>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D449" i="3"/>
  <c r="AA449" i="3"/>
  <c r="Z449" i="3"/>
  <c r="AC449" i="3"/>
  <c r="T449" i="3" l="1"/>
  <c r="D449" i="3" s="1"/>
  <c r="G449" i="3" l="1"/>
  <c r="AG449" i="3"/>
  <c r="AH449" i="3"/>
  <c r="E449" i="3"/>
  <c r="H449" i="3" s="1"/>
  <c r="K449" i="3" l="1"/>
  <c r="AE449" i="3" s="1"/>
  <c r="F449" i="3"/>
  <c r="I449" i="3"/>
  <c r="J449" i="3"/>
  <c r="M449" i="3"/>
  <c r="N449" i="3" s="1"/>
  <c r="L449" i="3" l="1"/>
  <c r="V449" i="3"/>
  <c r="W449" i="3" s="1"/>
  <c r="A450" i="3"/>
  <c r="B450" i="3" s="1"/>
  <c r="P450" i="3" l="1"/>
  <c r="Q450" i="3" s="1"/>
  <c r="R450" i="3" s="1"/>
  <c r="S450" i="3" s="1"/>
  <c r="AD450" i="3"/>
  <c r="Z450" i="3"/>
  <c r="AC450" i="3"/>
  <c r="AA450" i="3"/>
  <c r="U449" i="3"/>
  <c r="Y448" i="3"/>
  <c r="T450" i="3" l="1"/>
  <c r="D450" i="3" s="1"/>
  <c r="AH450" i="3" l="1"/>
  <c r="G450" i="3"/>
  <c r="E450" i="3"/>
  <c r="H450" i="3" s="1"/>
  <c r="AG450" i="3"/>
  <c r="F450" i="3" l="1"/>
  <c r="I450" i="3"/>
  <c r="J450" i="3"/>
  <c r="M450" i="3"/>
  <c r="N450" i="3" s="1"/>
  <c r="K450" i="3"/>
  <c r="AE450" i="3" s="1"/>
  <c r="V450" i="3" l="1"/>
  <c r="W450" i="3" s="1"/>
  <c r="A451" i="3"/>
  <c r="B451" i="3" s="1"/>
  <c r="L450" i="3"/>
  <c r="U450" i="3" l="1"/>
  <c r="Y449" i="3"/>
  <c r="P451" i="3"/>
  <c r="Q451" i="3" s="1"/>
  <c r="R451" i="3" s="1"/>
  <c r="S451" i="3" s="1"/>
  <c r="Z451" i="3"/>
  <c r="AD451" i="3"/>
  <c r="AA451" i="3"/>
  <c r="AC451" i="3"/>
  <c r="T451" i="3" l="1"/>
  <c r="AG451" i="3" s="1"/>
  <c r="E451" i="3" l="1"/>
  <c r="H451" i="3" s="1"/>
  <c r="K451" i="3" s="1"/>
  <c r="AE451" i="3" s="1"/>
  <c r="AH451" i="3"/>
  <c r="D451" i="3"/>
  <c r="V451" i="3" l="1"/>
  <c r="A452" i="3"/>
  <c r="B452" i="3" s="1"/>
  <c r="F451" i="3"/>
  <c r="G451" i="3"/>
  <c r="I451" i="3" l="1"/>
  <c r="W451" i="3" s="1"/>
  <c r="J451" i="3"/>
  <c r="M451" i="3"/>
  <c r="N451" i="3" s="1"/>
  <c r="AA452" i="3"/>
  <c r="P452" i="3"/>
  <c r="Q452" i="3" s="1"/>
  <c r="R452" i="3" s="1"/>
  <c r="S452" i="3" s="1"/>
  <c r="AC452" i="3"/>
  <c r="Z452" i="3"/>
  <c r="AD452" i="3"/>
  <c r="T452" i="3" l="1"/>
  <c r="L451" i="3"/>
  <c r="U451" i="3" l="1"/>
  <c r="D452" i="3" s="1"/>
  <c r="AH452" i="3"/>
  <c r="AG452" i="3"/>
  <c r="Y450" i="3"/>
  <c r="E452" i="3" l="1"/>
  <c r="H452" i="3" s="1"/>
  <c r="K452" i="3" s="1"/>
  <c r="AE452" i="3" s="1"/>
  <c r="G452" i="3"/>
  <c r="F452" i="3" l="1"/>
  <c r="I452" i="3"/>
  <c r="J452" i="3"/>
  <c r="M452" i="3"/>
  <c r="N452" i="3" s="1"/>
  <c r="V452" i="3"/>
  <c r="A453" i="3"/>
  <c r="B453" i="3" s="1"/>
  <c r="W452" i="3" l="1"/>
  <c r="L452" i="3"/>
  <c r="AA453" i="3"/>
  <c r="P453" i="3"/>
  <c r="Q453" i="3" s="1"/>
  <c r="R453" i="3" s="1"/>
  <c r="S453" i="3" s="1"/>
  <c r="AC453" i="3"/>
  <c r="AD453" i="3"/>
  <c r="Z453" i="3"/>
  <c r="U452" i="3" l="1"/>
  <c r="Y451" i="3"/>
  <c r="T453" i="3"/>
  <c r="AH453" i="3" s="1"/>
  <c r="AG453" i="3" l="1"/>
  <c r="E453" i="3"/>
  <c r="H453" i="3" s="1"/>
  <c r="D453" i="3"/>
  <c r="K453" i="3" l="1"/>
  <c r="AE453" i="3" s="1"/>
  <c r="F453" i="3"/>
  <c r="G453" i="3"/>
  <c r="I453" i="3" l="1"/>
  <c r="J453" i="3"/>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D455" i="3"/>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M455" i="3"/>
  <c r="N455" i="3" s="1"/>
  <c r="V455" i="3"/>
  <c r="A456" i="3"/>
  <c r="B456" i="3" s="1"/>
  <c r="W455" i="3" l="1"/>
  <c r="L455" i="3"/>
  <c r="AC456" i="3"/>
  <c r="P456" i="3"/>
  <c r="Q456" i="3" s="1"/>
  <c r="R456" i="3" s="1"/>
  <c r="S456" i="3" s="1"/>
  <c r="AD456" i="3"/>
  <c r="Z456" i="3"/>
  <c r="AA456" i="3"/>
  <c r="U455" i="3" l="1"/>
  <c r="Y454" i="3"/>
  <c r="T456" i="3"/>
  <c r="AG456" i="3" s="1"/>
  <c r="D456" i="3" l="1"/>
  <c r="G456" i="3" s="1"/>
  <c r="AH456" i="3"/>
  <c r="E456" i="3"/>
  <c r="H456" i="3" s="1"/>
  <c r="I456" i="3" l="1"/>
  <c r="J456" i="3"/>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D459" i="3"/>
  <c r="AC459" i="3"/>
  <c r="T459" i="3" l="1"/>
  <c r="AH459" i="3" s="1"/>
  <c r="U458" i="3"/>
  <c r="Y457" i="3"/>
  <c r="AG459" i="3" l="1"/>
  <c r="D459" i="3"/>
  <c r="E459" i="3"/>
  <c r="H459" i="3" s="1"/>
  <c r="K459" i="3" l="1"/>
  <c r="AE459" i="3" s="1"/>
  <c r="F459" i="3"/>
  <c r="G459" i="3"/>
  <c r="I459" i="3" l="1"/>
  <c r="J459" i="3"/>
  <c r="M459" i="3"/>
  <c r="N459" i="3" s="1"/>
  <c r="V459" i="3"/>
  <c r="A460" i="3"/>
  <c r="B460" i="3" s="1"/>
  <c r="W459" i="3" l="1"/>
  <c r="L459" i="3"/>
  <c r="P460" i="3"/>
  <c r="Q460" i="3" s="1"/>
  <c r="R460" i="3" s="1"/>
  <c r="S460" i="3" s="1"/>
  <c r="AD460" i="3"/>
  <c r="Z460" i="3"/>
  <c r="AA460" i="3"/>
  <c r="AC460" i="3"/>
  <c r="U459" i="3" l="1"/>
  <c r="Y458" i="3"/>
  <c r="T460" i="3"/>
  <c r="D460" i="3" l="1"/>
  <c r="G460" i="3" s="1"/>
  <c r="AH460" i="3"/>
  <c r="E460" i="3"/>
  <c r="H460" i="3" s="1"/>
  <c r="AG460" i="3"/>
  <c r="F460" i="3" l="1"/>
  <c r="I460" i="3"/>
  <c r="J460" i="3"/>
  <c r="M460" i="3"/>
  <c r="N460" i="3" s="1"/>
  <c r="K460" i="3"/>
  <c r="AE460" i="3" s="1"/>
  <c r="V460" i="3" l="1"/>
  <c r="W460" i="3" s="1"/>
  <c r="A461" i="3"/>
  <c r="B461" i="3" s="1"/>
  <c r="L460" i="3"/>
  <c r="U460" i="3" l="1"/>
  <c r="Y459" i="3"/>
  <c r="AC461" i="3"/>
  <c r="Z461" i="3"/>
  <c r="P461" i="3"/>
  <c r="Q461" i="3" s="1"/>
  <c r="R461" i="3" s="1"/>
  <c r="S461" i="3" s="1"/>
  <c r="AA461" i="3"/>
  <c r="AD461" i="3"/>
  <c r="T461" i="3" l="1"/>
  <c r="D461" i="3" s="1"/>
  <c r="AG461" i="3" l="1"/>
  <c r="G461" i="3"/>
  <c r="AH461" i="3"/>
  <c r="E461" i="3"/>
  <c r="H461" i="3" s="1"/>
  <c r="F461" i="3" l="1"/>
  <c r="I461" i="3"/>
  <c r="J461" i="3"/>
  <c r="M461" i="3"/>
  <c r="N461" i="3" s="1"/>
  <c r="K461" i="3"/>
  <c r="AE461" i="3" s="1"/>
  <c r="V461" i="3" l="1"/>
  <c r="W461" i="3" s="1"/>
  <c r="A462" i="3"/>
  <c r="B462" i="3" s="1"/>
  <c r="L461" i="3"/>
  <c r="U461" i="3" l="1"/>
  <c r="Y460" i="3"/>
  <c r="Z462" i="3"/>
  <c r="P462" i="3"/>
  <c r="Q462" i="3" s="1"/>
  <c r="R462" i="3" s="1"/>
  <c r="S462" i="3" s="1"/>
  <c r="AD462" i="3"/>
  <c r="AA462" i="3"/>
  <c r="AC462" i="3"/>
  <c r="T462" i="3" l="1"/>
  <c r="E462" i="3" s="1"/>
  <c r="H462" i="3" s="1"/>
  <c r="AG462" i="3" l="1"/>
  <c r="AH462" i="3"/>
  <c r="D462" i="3"/>
  <c r="G462" i="3" s="1"/>
  <c r="K462" i="3"/>
  <c r="AE462" i="3" s="1"/>
  <c r="F462" i="3" l="1"/>
  <c r="V462" i="3"/>
  <c r="A463" i="3"/>
  <c r="B463" i="3" s="1"/>
  <c r="I462" i="3"/>
  <c r="J462" i="3"/>
  <c r="M462" i="3"/>
  <c r="N462" i="3" s="1"/>
  <c r="W462" i="3" l="1"/>
  <c r="L462" i="3"/>
  <c r="P463" i="3"/>
  <c r="Q463" i="3" s="1"/>
  <c r="R463" i="3" s="1"/>
  <c r="S463" i="3" s="1"/>
  <c r="AC463" i="3"/>
  <c r="Z463" i="3"/>
  <c r="AA463" i="3"/>
  <c r="AD463" i="3"/>
  <c r="U462" i="3" l="1"/>
  <c r="Y461" i="3"/>
  <c r="T463" i="3"/>
  <c r="AH463" i="3" s="1"/>
  <c r="AG463" i="3" l="1"/>
  <c r="D463" i="3"/>
  <c r="E463" i="3"/>
  <c r="H463" i="3" s="1"/>
  <c r="F463" i="3" l="1"/>
  <c r="G463" i="3"/>
  <c r="K463" i="3"/>
  <c r="AE463" i="3" s="1"/>
  <c r="V463" i="3" l="1"/>
  <c r="A464" i="3"/>
  <c r="B464" i="3" s="1"/>
  <c r="I463" i="3"/>
  <c r="J463" i="3"/>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D475" i="3"/>
  <c r="AA475" i="3"/>
  <c r="T475" i="3" l="1"/>
  <c r="AG475" i="3" s="1"/>
  <c r="AH475" i="3" l="1"/>
  <c r="E475" i="3"/>
  <c r="H475" i="3" s="1"/>
  <c r="K475" i="3" s="1"/>
  <c r="AE475" i="3" s="1"/>
  <c r="D475" i="3"/>
  <c r="F475" i="3" l="1"/>
  <c r="G475" i="3"/>
  <c r="M475" i="3" s="1"/>
  <c r="N475" i="3" s="1"/>
  <c r="V475" i="3"/>
  <c r="A476" i="3"/>
  <c r="B476" i="3" s="1"/>
  <c r="I475" i="3" l="1"/>
  <c r="W475" i="3" s="1"/>
  <c r="J475" i="3"/>
  <c r="L475" i="3" s="1"/>
  <c r="P476" i="3"/>
  <c r="Q476" i="3" s="1"/>
  <c r="R476" i="3" s="1"/>
  <c r="S476" i="3" s="1"/>
  <c r="AA476" i="3"/>
  <c r="AD476" i="3"/>
  <c r="Z476" i="3"/>
  <c r="AC476" i="3"/>
  <c r="U475" i="3" l="1"/>
  <c r="Y474" i="3"/>
  <c r="T476" i="3"/>
  <c r="AG476" i="3" s="1"/>
  <c r="D476" i="3" l="1"/>
  <c r="G476" i="3" s="1"/>
  <c r="E476" i="3"/>
  <c r="H476" i="3" s="1"/>
  <c r="K476" i="3" s="1"/>
  <c r="AE476" i="3" s="1"/>
  <c r="AH476" i="3"/>
  <c r="F476" i="3" l="1"/>
  <c r="V476" i="3"/>
  <c r="A477" i="3"/>
  <c r="B477" i="3" s="1"/>
  <c r="I476" i="3"/>
  <c r="J476" i="3"/>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D479" i="3"/>
  <c r="AC479" i="3"/>
  <c r="AA479" i="3"/>
  <c r="Z479" i="3"/>
  <c r="T479" i="3" l="1"/>
  <c r="L478" i="3"/>
  <c r="U478" i="3" l="1"/>
  <c r="E479" i="3" s="1"/>
  <c r="H479" i="3" s="1"/>
  <c r="AH479" i="3"/>
  <c r="AG479" i="3"/>
  <c r="Y477" i="3"/>
  <c r="D479" i="3" l="1"/>
  <c r="G479" i="3" s="1"/>
  <c r="K479" i="3"/>
  <c r="AE479" i="3" s="1"/>
  <c r="F479" i="3" l="1"/>
  <c r="I479" i="3"/>
  <c r="J479" i="3"/>
  <c r="M479" i="3"/>
  <c r="N479" i="3" s="1"/>
  <c r="V479" i="3"/>
  <c r="A480" i="3"/>
  <c r="B480" i="3" s="1"/>
  <c r="W479" i="3" l="1"/>
  <c r="AA480" i="3"/>
  <c r="P480" i="3"/>
  <c r="Q480" i="3" s="1"/>
  <c r="R480" i="3" s="1"/>
  <c r="S480" i="3" s="1"/>
  <c r="AD480" i="3"/>
  <c r="AC480" i="3"/>
  <c r="Z480" i="3"/>
  <c r="L479" i="3"/>
  <c r="U479" i="3" l="1"/>
  <c r="Y478" i="3"/>
  <c r="T480" i="3"/>
  <c r="E480" i="3" l="1"/>
  <c r="H480" i="3" s="1"/>
  <c r="K480" i="3" s="1"/>
  <c r="AE480" i="3" s="1"/>
  <c r="AH480" i="3"/>
  <c r="AG480" i="3"/>
  <c r="D480" i="3"/>
  <c r="V480" i="3" l="1"/>
  <c r="A481" i="3"/>
  <c r="B481" i="3" s="1"/>
  <c r="F480" i="3"/>
  <c r="G480" i="3"/>
  <c r="I480" i="3" l="1"/>
  <c r="W480" i="3" s="1"/>
  <c r="J480" i="3"/>
  <c r="M480" i="3"/>
  <c r="N480" i="3" s="1"/>
  <c r="P481" i="3"/>
  <c r="Q481" i="3" s="1"/>
  <c r="R481" i="3" s="1"/>
  <c r="S481" i="3" s="1"/>
  <c r="AC481" i="3"/>
  <c r="AA481" i="3"/>
  <c r="AD481" i="3"/>
  <c r="Z481" i="3"/>
  <c r="T481" i="3" l="1"/>
  <c r="L480" i="3"/>
  <c r="U480" i="3" l="1"/>
  <c r="D481" i="3" s="1"/>
  <c r="AG481" i="3"/>
  <c r="AH481" i="3"/>
  <c r="Y479" i="3"/>
  <c r="G481" i="3" l="1"/>
  <c r="E481" i="3"/>
  <c r="H481" i="3" s="1"/>
  <c r="K481" i="3" l="1"/>
  <c r="AE481" i="3" s="1"/>
  <c r="I481" i="3"/>
  <c r="J481" i="3"/>
  <c r="M481" i="3"/>
  <c r="N481" i="3" s="1"/>
  <c r="F481" i="3"/>
  <c r="V481" i="3" l="1"/>
  <c r="W481" i="3" s="1"/>
  <c r="A482" i="3"/>
  <c r="B482" i="3" s="1"/>
  <c r="L481" i="3"/>
  <c r="U481" i="3" l="1"/>
  <c r="Y480" i="3"/>
  <c r="AC482" i="3"/>
  <c r="AA482" i="3"/>
  <c r="P482" i="3"/>
  <c r="Q482" i="3" s="1"/>
  <c r="R482" i="3" s="1"/>
  <c r="S482" i="3" s="1"/>
  <c r="AD482" i="3"/>
  <c r="Z482" i="3"/>
  <c r="T482" i="3" l="1"/>
  <c r="D482" i="3" s="1"/>
  <c r="AG482" i="3" l="1"/>
  <c r="G482" i="3"/>
  <c r="AH482" i="3"/>
  <c r="E482" i="3"/>
  <c r="H482" i="3" s="1"/>
  <c r="F482" i="3" l="1"/>
  <c r="I482" i="3"/>
  <c r="J482" i="3"/>
  <c r="M482" i="3"/>
  <c r="N482" i="3" s="1"/>
  <c r="K482" i="3"/>
  <c r="AE482" i="3" s="1"/>
  <c r="V482" i="3" l="1"/>
  <c r="W482" i="3" s="1"/>
  <c r="A483" i="3"/>
  <c r="B483" i="3" s="1"/>
  <c r="L482" i="3"/>
  <c r="U482" i="3" l="1"/>
  <c r="Y481" i="3"/>
  <c r="P483" i="3"/>
  <c r="Q483" i="3" s="1"/>
  <c r="R483" i="3" s="1"/>
  <c r="S483" i="3" s="1"/>
  <c r="Z483" i="3"/>
  <c r="AC483" i="3"/>
  <c r="AD483" i="3"/>
  <c r="AA483" i="3"/>
  <c r="T483" i="3" l="1"/>
  <c r="E483" i="3" s="1"/>
  <c r="H483" i="3" s="1"/>
  <c r="AG483" i="3" l="1"/>
  <c r="AH483" i="3"/>
  <c r="D483" i="3"/>
  <c r="G483" i="3" s="1"/>
  <c r="K483" i="3"/>
  <c r="AE483" i="3" s="1"/>
  <c r="F483" i="3" l="1"/>
  <c r="I483" i="3"/>
  <c r="J483" i="3"/>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D485" i="3"/>
  <c r="AA485" i="3"/>
  <c r="AC485" i="3"/>
  <c r="Z485" i="3"/>
  <c r="U484" i="3" l="1"/>
  <c r="Y483" i="3"/>
  <c r="T485" i="3"/>
  <c r="D485" i="3" l="1"/>
  <c r="G485" i="3" s="1"/>
  <c r="AG485" i="3"/>
  <c r="AH485" i="3"/>
  <c r="E485" i="3"/>
  <c r="H485" i="3" s="1"/>
  <c r="K485" i="3" s="1"/>
  <c r="AE485" i="3" s="1"/>
  <c r="F485" i="3" l="1"/>
  <c r="I485" i="3"/>
  <c r="J485" i="3"/>
  <c r="M485" i="3"/>
  <c r="N485" i="3" s="1"/>
  <c r="V485" i="3"/>
  <c r="A486" i="3"/>
  <c r="B486" i="3" s="1"/>
  <c r="W485" i="3" l="1"/>
  <c r="L485" i="3"/>
  <c r="AA486" i="3"/>
  <c r="P486" i="3"/>
  <c r="Q486" i="3" s="1"/>
  <c r="R486" i="3" s="1"/>
  <c r="S486" i="3" s="1"/>
  <c r="AC486" i="3"/>
  <c r="AD486" i="3"/>
  <c r="Z486" i="3"/>
  <c r="T486" i="3" l="1"/>
  <c r="AH486" i="3" s="1"/>
  <c r="U485" i="3"/>
  <c r="Y484" i="3"/>
  <c r="D486" i="3" l="1"/>
  <c r="G486" i="3" s="1"/>
  <c r="AG486" i="3"/>
  <c r="E486" i="3"/>
  <c r="H486" i="3" s="1"/>
  <c r="K486" i="3" s="1"/>
  <c r="AE486" i="3" s="1"/>
  <c r="F486" i="3" l="1"/>
  <c r="V486" i="3"/>
  <c r="A487" i="3"/>
  <c r="B487" i="3" s="1"/>
  <c r="I486" i="3"/>
  <c r="J486" i="3"/>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AD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L489" i="3" s="1"/>
  <c r="Z490" i="3"/>
  <c r="AC490" i="3"/>
  <c r="P490" i="3"/>
  <c r="Q490" i="3" s="1"/>
  <c r="R490" i="3" s="1"/>
  <c r="S490" i="3" s="1"/>
  <c r="AD490" i="3"/>
  <c r="AA490" i="3"/>
  <c r="T490" i="3" l="1"/>
  <c r="AH490" i="3" s="1"/>
  <c r="U489" i="3"/>
  <c r="Y488" i="3"/>
  <c r="E490" i="3" l="1"/>
  <c r="H490" i="3" s="1"/>
  <c r="K490" i="3" s="1"/>
  <c r="AE490" i="3" s="1"/>
  <c r="D490" i="3"/>
  <c r="AG490" i="3"/>
  <c r="V490" i="3" l="1"/>
  <c r="A491" i="3"/>
  <c r="B491" i="3" s="1"/>
  <c r="F490" i="3"/>
  <c r="G490" i="3"/>
  <c r="I490" i="3" l="1"/>
  <c r="W490" i="3" s="1"/>
  <c r="J490" i="3"/>
  <c r="M490" i="3"/>
  <c r="N490" i="3" s="1"/>
  <c r="P491" i="3"/>
  <c r="Q491" i="3" s="1"/>
  <c r="R491" i="3" s="1"/>
  <c r="S491" i="3" s="1"/>
  <c r="Z491" i="3"/>
  <c r="AD491" i="3"/>
  <c r="AC491" i="3"/>
  <c r="AA491" i="3"/>
  <c r="T491" i="3" l="1"/>
  <c r="L490" i="3"/>
  <c r="AH491" i="3" l="1"/>
  <c r="U490" i="3"/>
  <c r="D491" i="3" s="1"/>
  <c r="AG491" i="3"/>
  <c r="Y489" i="3"/>
  <c r="E491" i="3" l="1"/>
  <c r="H491" i="3" s="1"/>
  <c r="K491" i="3" s="1"/>
  <c r="AE491" i="3" s="1"/>
  <c r="G491" i="3"/>
  <c r="F491" i="3" l="1"/>
  <c r="I491" i="3"/>
  <c r="J491" i="3"/>
  <c r="M491" i="3"/>
  <c r="N491" i="3" s="1"/>
  <c r="V491" i="3"/>
  <c r="A492" i="3"/>
  <c r="B492" i="3" s="1"/>
  <c r="W491" i="3" l="1"/>
  <c r="L491" i="3"/>
  <c r="AC492" i="3"/>
  <c r="AA492" i="3"/>
  <c r="P492" i="3"/>
  <c r="Q492" i="3" s="1"/>
  <c r="R492" i="3" s="1"/>
  <c r="S492" i="3" s="1"/>
  <c r="Z492" i="3"/>
  <c r="AD492" i="3"/>
  <c r="T492" i="3" l="1"/>
  <c r="U491" i="3"/>
  <c r="Y490" i="3"/>
  <c r="D492" i="3" l="1"/>
  <c r="G492" i="3" s="1"/>
  <c r="AH492" i="3"/>
  <c r="AG492" i="3"/>
  <c r="E492" i="3"/>
  <c r="H492" i="3" s="1"/>
  <c r="F492" i="3" l="1"/>
  <c r="I492" i="3"/>
  <c r="J492" i="3"/>
  <c r="M492" i="3"/>
  <c r="N492" i="3" s="1"/>
  <c r="K492" i="3"/>
  <c r="AE492" i="3" s="1"/>
  <c r="L492" i="3" l="1"/>
  <c r="V492" i="3"/>
  <c r="W492" i="3" s="1"/>
  <c r="A493" i="3"/>
  <c r="B493" i="3" s="1"/>
  <c r="U492" i="3" l="1"/>
  <c r="Y491" i="3"/>
  <c r="P493" i="3"/>
  <c r="Q493" i="3" s="1"/>
  <c r="R493" i="3" s="1"/>
  <c r="S493" i="3" s="1"/>
  <c r="AC493" i="3"/>
  <c r="AA493" i="3"/>
  <c r="Z493" i="3"/>
  <c r="AD493" i="3"/>
  <c r="T493" i="3" l="1"/>
  <c r="AH493" i="3" s="1"/>
  <c r="AG493" i="3" l="1"/>
  <c r="E493" i="3"/>
  <c r="H493" i="3" s="1"/>
  <c r="K493" i="3" s="1"/>
  <c r="AE493" i="3" s="1"/>
  <c r="D493" i="3"/>
  <c r="F493" i="3" l="1"/>
  <c r="G493" i="3"/>
  <c r="J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D505" i="3"/>
  <c r="AA505" i="3"/>
  <c r="L504" i="3" l="1"/>
  <c r="Y503" i="3" s="1"/>
  <c r="AD504" i="3"/>
  <c r="T505" i="3"/>
  <c r="AH505" i="3" l="1"/>
  <c r="U504" i="3"/>
  <c r="D505" i="3" s="1"/>
  <c r="G505" i="3" s="1"/>
  <c r="AG505" i="3"/>
  <c r="E505" i="3" l="1"/>
  <c r="H505" i="3" s="1"/>
  <c r="K505" i="3" s="1"/>
  <c r="AE505" i="3" s="1"/>
  <c r="J505" i="3"/>
  <c r="I505" i="3" l="1"/>
  <c r="F505" i="3"/>
  <c r="V505" i="3"/>
  <c r="M505" i="3"/>
  <c r="N505" i="3" s="1"/>
  <c r="A506" i="3"/>
  <c r="B506" i="3" s="1"/>
  <c r="P506" i="3" s="1"/>
  <c r="Q506" i="3" s="1"/>
  <c r="R506" i="3" s="1"/>
  <c r="S506" i="3" s="1"/>
  <c r="L505" i="3"/>
  <c r="W505" i="3" l="1"/>
  <c r="AA506" i="3"/>
  <c r="AD506" i="3"/>
  <c r="AC506" i="3"/>
  <c r="Z506" i="3"/>
  <c r="U505" i="3"/>
  <c r="Y504" i="3"/>
  <c r="T506" i="3"/>
  <c r="AG506" i="3" l="1"/>
  <c r="D506" i="3"/>
  <c r="G506" i="3" s="1"/>
  <c r="AH506" i="3"/>
  <c r="E506" i="3"/>
  <c r="H506" i="3" s="1"/>
  <c r="K506" i="3" s="1"/>
  <c r="AE506" i="3" s="1"/>
  <c r="F506" i="3" l="1"/>
  <c r="I506" i="3"/>
  <c r="J506" i="3"/>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D509" i="3" l="1"/>
  <c r="AC509" i="3"/>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M509" i="3"/>
  <c r="N509" i="3" s="1"/>
  <c r="K509" i="3"/>
  <c r="AE509" i="3" s="1"/>
  <c r="V509" i="3" l="1"/>
  <c r="W509" i="3" s="1"/>
  <c r="A510" i="3"/>
  <c r="B510" i="3" s="1"/>
  <c r="L509" i="3"/>
  <c r="U509" i="3" l="1"/>
  <c r="Y508" i="3"/>
  <c r="AC510" i="3"/>
  <c r="Z510" i="3"/>
  <c r="AA510" i="3"/>
  <c r="AD510" i="3"/>
  <c r="P510" i="3"/>
  <c r="Q510" i="3" s="1"/>
  <c r="R510" i="3" s="1"/>
  <c r="S510" i="3" s="1"/>
  <c r="T510" i="3" l="1"/>
  <c r="AH510" i="3" l="1"/>
  <c r="E510" i="3"/>
  <c r="H510" i="3" s="1"/>
  <c r="D510" i="3"/>
  <c r="AG510" i="3"/>
  <c r="F510" i="3" l="1"/>
  <c r="G510" i="3"/>
  <c r="K510" i="3"/>
  <c r="AE510" i="3" s="1"/>
  <c r="V510" i="3" l="1"/>
  <c r="A511" i="3"/>
  <c r="B511" i="3" s="1"/>
  <c r="I510" i="3"/>
  <c r="J510" i="3"/>
  <c r="M510" i="3"/>
  <c r="N510" i="3" s="1"/>
  <c r="L510" i="3" l="1"/>
  <c r="AA511" i="3"/>
  <c r="AC511" i="3"/>
  <c r="P511" i="3"/>
  <c r="Q511" i="3" s="1"/>
  <c r="R511" i="3" s="1"/>
  <c r="S511" i="3" s="1"/>
  <c r="Z511" i="3"/>
  <c r="AD511" i="3"/>
  <c r="W510" i="3"/>
  <c r="U510" i="3" l="1"/>
  <c r="Y509" i="3"/>
  <c r="T511" i="3"/>
  <c r="AG511" i="3" s="1"/>
  <c r="AH511" i="3" l="1"/>
  <c r="D511" i="3"/>
  <c r="E511" i="3"/>
  <c r="H511" i="3" s="1"/>
  <c r="F511" i="3" l="1"/>
  <c r="G511" i="3"/>
  <c r="K511" i="3"/>
  <c r="AE511" i="3" s="1"/>
  <c r="V511" i="3" l="1"/>
  <c r="A512" i="3"/>
  <c r="B512" i="3" s="1"/>
  <c r="I511" i="3"/>
  <c r="J511" i="3"/>
  <c r="M511" i="3"/>
  <c r="N511" i="3" s="1"/>
  <c r="W511" i="3" l="1"/>
  <c r="L511" i="3"/>
  <c r="AC512" i="3"/>
  <c r="Z512" i="3"/>
  <c r="AA512" i="3"/>
  <c r="P512" i="3"/>
  <c r="Q512" i="3" s="1"/>
  <c r="R512" i="3" s="1"/>
  <c r="S512" i="3" s="1"/>
  <c r="AD512" i="3"/>
  <c r="T512" i="3" l="1"/>
  <c r="U511" i="3"/>
  <c r="Y510" i="3"/>
  <c r="D512" i="3" l="1"/>
  <c r="G512" i="3" s="1"/>
  <c r="AH512" i="3"/>
  <c r="E512" i="3"/>
  <c r="H512" i="3" s="1"/>
  <c r="K512" i="3" s="1"/>
  <c r="AE512" i="3" s="1"/>
  <c r="AG512" i="3"/>
  <c r="F512" i="3" l="1"/>
  <c r="I512" i="3"/>
  <c r="J512" i="3"/>
  <c r="M512" i="3"/>
  <c r="N512" i="3" s="1"/>
  <c r="V512" i="3"/>
  <c r="A513" i="3"/>
  <c r="B513" i="3" s="1"/>
  <c r="W512" i="3" l="1"/>
  <c r="L512" i="3"/>
  <c r="AA513" i="3"/>
  <c r="P513" i="3"/>
  <c r="Q513" i="3" s="1"/>
  <c r="R513" i="3" s="1"/>
  <c r="S513" i="3" s="1"/>
  <c r="AC513" i="3"/>
  <c r="AD513" i="3"/>
  <c r="Z513" i="3"/>
  <c r="T513" i="3" l="1"/>
  <c r="AG513" i="3" s="1"/>
  <c r="U512" i="3"/>
  <c r="Y511" i="3"/>
  <c r="AH513" i="3" l="1"/>
  <c r="E513" i="3"/>
  <c r="H513" i="3" s="1"/>
  <c r="D513" i="3"/>
  <c r="F513" i="3" l="1"/>
  <c r="G513" i="3"/>
  <c r="K513" i="3"/>
  <c r="AE513" i="3" s="1"/>
  <c r="V513" i="3" l="1"/>
  <c r="A514" i="3"/>
  <c r="B514" i="3" s="1"/>
  <c r="I513" i="3"/>
  <c r="J513" i="3"/>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s="1"/>
  <c r="Y520" i="3" l="1"/>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AD525" i="3"/>
  <c r="Z525" i="3"/>
  <c r="P525" i="3"/>
  <c r="Q525" i="3" s="1"/>
  <c r="R525" i="3" s="1"/>
  <c r="S525" i="3" s="1"/>
  <c r="T525" i="3" l="1"/>
  <c r="AH525" i="3" s="1"/>
  <c r="U524" i="3"/>
  <c r="Y523" i="3"/>
  <c r="AG525" i="3" l="1"/>
  <c r="D525" i="3"/>
  <c r="E525" i="3"/>
  <c r="H525" i="3" s="1"/>
  <c r="F525" i="3" l="1"/>
  <c r="G525" i="3"/>
  <c r="K525" i="3"/>
  <c r="AE525" i="3" s="1"/>
  <c r="I525" i="3" l="1"/>
  <c r="J525" i="3"/>
  <c r="M525" i="3"/>
  <c r="N525" i="3" s="1"/>
  <c r="V525" i="3"/>
  <c r="A526" i="3"/>
  <c r="B526" i="3" s="1"/>
  <c r="L525" i="3" l="1"/>
  <c r="W525" i="3"/>
  <c r="AA526" i="3"/>
  <c r="P526" i="3"/>
  <c r="Q526" i="3" s="1"/>
  <c r="R526" i="3" s="1"/>
  <c r="S526" i="3" s="1"/>
  <c r="Z526" i="3"/>
  <c r="AD526" i="3"/>
  <c r="AC526" i="3"/>
  <c r="T526" i="3" l="1"/>
  <c r="U525" i="3"/>
  <c r="Y524" i="3"/>
  <c r="D526" i="3" l="1"/>
  <c r="G526" i="3" s="1"/>
  <c r="AH526" i="3"/>
  <c r="E526" i="3"/>
  <c r="H526" i="3" s="1"/>
  <c r="K526" i="3" s="1"/>
  <c r="AE526" i="3" s="1"/>
  <c r="AG526" i="3"/>
  <c r="F526" i="3" l="1"/>
  <c r="V526" i="3"/>
  <c r="A527" i="3"/>
  <c r="B527" i="3" s="1"/>
  <c r="I526" i="3"/>
  <c r="J526" i="3"/>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AD529" i="3"/>
  <c r="P529" i="3"/>
  <c r="Q529" i="3" s="1"/>
  <c r="R529" i="3" s="1"/>
  <c r="S529" i="3" s="1"/>
  <c r="AA529" i="3"/>
  <c r="L528" i="3" l="1"/>
  <c r="Y527" i="3" s="1"/>
  <c r="AD528" i="3"/>
  <c r="T529" i="3"/>
  <c r="AG529" i="3" l="1"/>
  <c r="U528" i="3"/>
  <c r="D529" i="3" s="1"/>
  <c r="G529" i="3" s="1"/>
  <c r="AH529" i="3"/>
  <c r="E529" i="3" l="1"/>
  <c r="H529" i="3" s="1"/>
  <c r="K529" i="3" s="1"/>
  <c r="AE529" i="3" s="1"/>
  <c r="J529" i="3"/>
  <c r="A530" i="3" l="1"/>
  <c r="B530" i="3" s="1"/>
  <c r="P530" i="3" s="1"/>
  <c r="Q530" i="3" s="1"/>
  <c r="R530" i="3" s="1"/>
  <c r="S530" i="3" s="1"/>
  <c r="V529" i="3"/>
  <c r="M529" i="3"/>
  <c r="N529" i="3" s="1"/>
  <c r="I529" i="3"/>
  <c r="F529" i="3"/>
  <c r="L529" i="3"/>
  <c r="AC530" i="3" l="1"/>
  <c r="AD530" i="3"/>
  <c r="Z530" i="3"/>
  <c r="AA530" i="3"/>
  <c r="W529" i="3"/>
  <c r="T530" i="3"/>
  <c r="U529" i="3"/>
  <c r="Y528" i="3"/>
  <c r="AG530" i="3" l="1"/>
  <c r="D530" i="3"/>
  <c r="G530" i="3" s="1"/>
  <c r="AH530" i="3"/>
  <c r="E530" i="3"/>
  <c r="H530" i="3" s="1"/>
  <c r="F530" i="3" l="1"/>
  <c r="I530" i="3"/>
  <c r="J530" i="3"/>
  <c r="M530" i="3"/>
  <c r="N530" i="3" s="1"/>
  <c r="K530" i="3"/>
  <c r="AE530" i="3" s="1"/>
  <c r="V530" i="3" l="1"/>
  <c r="W530" i="3" s="1"/>
  <c r="A531" i="3"/>
  <c r="B531" i="3" s="1"/>
  <c r="L530" i="3"/>
  <c r="U530" i="3" l="1"/>
  <c r="Y529" i="3"/>
  <c r="Z531" i="3"/>
  <c r="AD531" i="3"/>
  <c r="AC531" i="3"/>
  <c r="AA531" i="3"/>
  <c r="P531" i="3"/>
  <c r="Q531" i="3" s="1"/>
  <c r="R531" i="3" s="1"/>
  <c r="S531" i="3" s="1"/>
  <c r="T531" i="3" l="1"/>
  <c r="AG531" i="3" s="1"/>
  <c r="AH531" i="3" l="1"/>
  <c r="D531" i="3"/>
  <c r="E531" i="3"/>
  <c r="H531" i="3" s="1"/>
  <c r="K531" i="3" l="1"/>
  <c r="AE531" i="3" s="1"/>
  <c r="F531" i="3"/>
  <c r="G531" i="3"/>
  <c r="I531" i="3" l="1"/>
  <c r="J531" i="3"/>
  <c r="M531" i="3"/>
  <c r="N531" i="3" s="1"/>
  <c r="V531" i="3"/>
  <c r="A532" i="3"/>
  <c r="B532" i="3" s="1"/>
  <c r="W531" i="3" l="1"/>
  <c r="L531" i="3"/>
  <c r="AD532"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M532" i="3"/>
  <c r="N532" i="3" s="1"/>
  <c r="W532" i="3" l="1"/>
  <c r="L532" i="3"/>
  <c r="P533" i="3"/>
  <c r="Q533" i="3" s="1"/>
  <c r="R533" i="3" s="1"/>
  <c r="S533" i="3" s="1"/>
  <c r="AD533" i="3"/>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Y560" i="3"/>
  <c r="T562" i="3"/>
  <c r="AH562" i="3" s="1"/>
  <c r="AG562" i="3" l="1"/>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AD632" i="3"/>
  <c r="T632" i="3" l="1"/>
  <c r="U631" i="3"/>
  <c r="Y630" i="3"/>
  <c r="D632" i="3" l="1"/>
  <c r="G632" i="3" s="1"/>
  <c r="E632" i="3"/>
  <c r="H632" i="3" s="1"/>
  <c r="K632" i="3" s="1"/>
  <c r="AE632" i="3" s="1"/>
  <c r="AG632" i="3"/>
  <c r="AH632" i="3"/>
  <c r="F632" i="3" l="1"/>
  <c r="I632" i="3"/>
  <c r="J632" i="3"/>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AD715" i="3"/>
  <c r="U714" i="3" l="1"/>
  <c r="Y713" i="3"/>
  <c r="T715" i="3"/>
  <c r="AG715" i="3" s="1"/>
  <c r="AH715" i="3" l="1"/>
  <c r="D715" i="3"/>
  <c r="G715" i="3" s="1"/>
  <c r="E715" i="3"/>
  <c r="H715" i="3" s="1"/>
  <c r="F715" i="3" l="1"/>
  <c r="I715" i="3"/>
  <c r="J715" i="3"/>
  <c r="M715" i="3"/>
  <c r="N715" i="3" s="1"/>
  <c r="K715" i="3"/>
  <c r="AE715" i="3" s="1"/>
  <c r="V715" i="3" l="1"/>
  <c r="W715" i="3" s="1"/>
  <c r="A716" i="3"/>
  <c r="B716" i="3" s="1"/>
  <c r="L715" i="3"/>
  <c r="U715" i="3" l="1"/>
  <c r="Y714" i="3"/>
  <c r="AC716" i="3"/>
  <c r="Z716" i="3"/>
  <c r="P716" i="3"/>
  <c r="Q716" i="3" s="1"/>
  <c r="R716" i="3" s="1"/>
  <c r="S716" i="3" s="1"/>
  <c r="AA716" i="3"/>
  <c r="AD716" i="3"/>
  <c r="T716" i="3" l="1"/>
  <c r="D716" i="3" s="1"/>
  <c r="E716" i="3" l="1"/>
  <c r="H716" i="3" s="1"/>
  <c r="K716" i="3" s="1"/>
  <c r="AE716" i="3" s="1"/>
  <c r="AH716" i="3"/>
  <c r="AG716" i="3"/>
  <c r="G716" i="3"/>
  <c r="F716" i="3" l="1"/>
  <c r="I716" i="3"/>
  <c r="J716" i="3"/>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AD739" i="3"/>
  <c r="Z739" i="3"/>
  <c r="T739" i="3" l="1"/>
  <c r="L738" i="3"/>
  <c r="AH739" i="3" l="1"/>
  <c r="U738" i="3"/>
  <c r="E739" i="3" s="1"/>
  <c r="H739" i="3" s="1"/>
  <c r="AG739" i="3"/>
  <c r="Y737" i="3"/>
  <c r="D739" i="3" l="1"/>
  <c r="G739" i="3" s="1"/>
  <c r="K739" i="3"/>
  <c r="AE739" i="3" s="1"/>
  <c r="F739" i="3" l="1"/>
  <c r="I739" i="3"/>
  <c r="J739" i="3"/>
  <c r="M739" i="3"/>
  <c r="N739" i="3" s="1"/>
  <c r="V739" i="3"/>
  <c r="A740" i="3"/>
  <c r="B740" i="3" s="1"/>
  <c r="W739" i="3" l="1"/>
  <c r="L739" i="3"/>
  <c r="P740" i="3"/>
  <c r="Q740" i="3" s="1"/>
  <c r="R740" i="3" s="1"/>
  <c r="S740" i="3" s="1"/>
  <c r="Z740" i="3"/>
  <c r="AC740" i="3"/>
  <c r="AD740" i="3"/>
  <c r="AA740" i="3"/>
  <c r="U739" i="3" l="1"/>
  <c r="Y738" i="3"/>
  <c r="T740" i="3"/>
  <c r="E740" i="3" l="1"/>
  <c r="H740" i="3" s="1"/>
  <c r="K740" i="3" s="1"/>
  <c r="AE740" i="3" s="1"/>
  <c r="D740" i="3"/>
  <c r="G740" i="3" s="1"/>
  <c r="AH740" i="3"/>
  <c r="AG740" i="3"/>
  <c r="F740" i="3" l="1"/>
  <c r="I740" i="3"/>
  <c r="J740" i="3"/>
  <c r="M740" i="3"/>
  <c r="N740" i="3" s="1"/>
  <c r="V740" i="3"/>
  <c r="A741" i="3"/>
  <c r="B741" i="3" s="1"/>
  <c r="W740" i="3" l="1"/>
  <c r="L740" i="3"/>
  <c r="AA741" i="3"/>
  <c r="P741" i="3"/>
  <c r="Q741" i="3" s="1"/>
  <c r="R741" i="3" s="1"/>
  <c r="S741" i="3" s="1"/>
  <c r="AD741" i="3"/>
  <c r="Z741" i="3"/>
  <c r="AC741" i="3"/>
  <c r="T741" i="3" l="1"/>
  <c r="AG741" i="3" s="1"/>
  <c r="U740" i="3"/>
  <c r="Y739" i="3"/>
  <c r="E741" i="3" l="1"/>
  <c r="H741" i="3" s="1"/>
  <c r="D741" i="3"/>
  <c r="AH741" i="3"/>
  <c r="K741" i="3" l="1"/>
  <c r="AE741" i="3" s="1"/>
  <c r="F741" i="3"/>
  <c r="G741" i="3"/>
  <c r="V741" i="3" l="1"/>
  <c r="A742" i="3"/>
  <c r="B742" i="3" s="1"/>
  <c r="I741" i="3"/>
  <c r="J741" i="3"/>
  <c r="M741" i="3"/>
  <c r="N741" i="3" s="1"/>
  <c r="L741" i="3" l="1"/>
  <c r="W741" i="3"/>
  <c r="AC742" i="3"/>
  <c r="P742" i="3"/>
  <c r="Q742" i="3" s="1"/>
  <c r="R742" i="3" s="1"/>
  <c r="S742" i="3" s="1"/>
  <c r="AD742" i="3"/>
  <c r="Z742" i="3"/>
  <c r="AA742" i="3"/>
  <c r="U741" i="3" l="1"/>
  <c r="Y740" i="3"/>
  <c r="T742" i="3"/>
  <c r="AG742" i="3" s="1"/>
  <c r="E742" i="3" l="1"/>
  <c r="H742" i="3" s="1"/>
  <c r="K742" i="3" s="1"/>
  <c r="AE742" i="3" s="1"/>
  <c r="AH742" i="3"/>
  <c r="D742" i="3"/>
  <c r="F742" i="3" l="1"/>
  <c r="G742" i="3"/>
  <c r="V742" i="3"/>
  <c r="A743" i="3"/>
  <c r="B743" i="3" s="1"/>
  <c r="I742" i="3" l="1"/>
  <c r="W742" i="3" s="1"/>
  <c r="J742" i="3"/>
  <c r="M742" i="3"/>
  <c r="N742" i="3" s="1"/>
  <c r="Z743" i="3"/>
  <c r="AA743" i="3"/>
  <c r="P743" i="3"/>
  <c r="Q743" i="3" s="1"/>
  <c r="R743" i="3" s="1"/>
  <c r="S743" i="3" s="1"/>
  <c r="AC743" i="3"/>
  <c r="AD743" i="3"/>
  <c r="T743" i="3" l="1"/>
  <c r="L742" i="3"/>
  <c r="U742" i="3" l="1"/>
  <c r="E743" i="3" s="1"/>
  <c r="H743" i="3" s="1"/>
  <c r="AH743" i="3"/>
  <c r="AG743" i="3"/>
  <c r="Y741" i="3"/>
  <c r="D743" i="3" l="1"/>
  <c r="G743" i="3" s="1"/>
  <c r="K743" i="3"/>
  <c r="AE743" i="3" s="1"/>
  <c r="F743" i="3" l="1"/>
  <c r="I743" i="3"/>
  <c r="J743" i="3"/>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I43" i="1"/>
  <c r="K43" i="1"/>
  <c r="H27" i="1"/>
  <c r="J31" i="7" s="1"/>
  <c r="L45" i="1"/>
  <c r="M45" i="1"/>
  <c r="K45" i="1"/>
  <c r="H45" i="1"/>
  <c r="I46" i="1"/>
  <c r="H46" i="1"/>
  <c r="J27" i="1"/>
  <c r="D164" i="1" s="1"/>
  <c r="M46" i="1"/>
  <c r="K27" i="1"/>
  <c r="K31" i="7" s="1"/>
  <c r="K24" i="1"/>
  <c r="S26" i="6" s="1"/>
  <c r="L43" i="1"/>
  <c r="L46" i="1"/>
  <c r="I27" i="1"/>
  <c r="B164" i="1" s="1"/>
  <c r="J43" i="1"/>
  <c r="I45" i="1"/>
  <c r="J46" i="1"/>
  <c r="H29" i="1"/>
  <c r="F155" i="1" s="1"/>
  <c r="M31" i="7"/>
  <c r="E121" i="7"/>
  <c r="F121" i="7" s="1"/>
  <c r="H116" i="7"/>
  <c r="H58" i="7"/>
  <c r="E64" i="7"/>
  <c r="F64" i="7" s="1"/>
  <c r="H55" i="7" l="1"/>
  <c r="H112" i="7"/>
  <c r="H53" i="7"/>
  <c r="P32" i="1"/>
  <c r="P33" i="1"/>
  <c r="I67" i="7"/>
  <c r="H43" i="1"/>
  <c r="K46" i="1"/>
  <c r="H47" i="1"/>
  <c r="M47" i="1"/>
  <c r="L47" i="1"/>
  <c r="K47" i="1"/>
  <c r="K29" i="1" s="1"/>
  <c r="M29" i="1" s="1"/>
  <c r="J47" i="1"/>
  <c r="J29" i="1"/>
  <c r="P31"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F22" i="1"/>
  <c r="D180" i="1"/>
  <c r="F201" i="1"/>
  <c r="D163" i="1"/>
  <c r="F200" i="1"/>
  <c r="D165" i="1"/>
  <c r="D173" i="1"/>
  <c r="D184" i="1"/>
  <c r="F168" i="1"/>
  <c r="F169" i="1"/>
  <c r="D193" i="1"/>
  <c r="F186" i="1"/>
  <c r="F170" i="1"/>
  <c r="H44" i="7"/>
  <c r="D174" i="1"/>
  <c r="D172" i="1"/>
  <c r="F176" i="1"/>
  <c r="D182" i="1"/>
  <c r="D192" i="1"/>
  <c r="D186" i="1"/>
  <c r="F164" i="1"/>
  <c r="F199" i="1"/>
  <c r="D196" i="1"/>
  <c r="F183" i="1"/>
  <c r="D191" i="1"/>
  <c r="F189" i="1"/>
  <c r="F163" i="1"/>
  <c r="F177" i="1"/>
  <c r="D166" i="1"/>
  <c r="D187" i="1"/>
  <c r="D198" i="1"/>
  <c r="F195" i="1"/>
  <c r="H11" i="7"/>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B152" i="1" l="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sharedStrings.xml><?xml version="1.0" encoding="utf-8"?>
<sst xmlns="http://schemas.openxmlformats.org/spreadsheetml/2006/main" count="1732" uniqueCount="573">
  <si>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</si>
  <si>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</si>
  <si>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</si>
  <si>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</si>
  <si>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</si>
  <si>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</si>
  <si>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</si>
  <si>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</si>
  <si>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</si>
  <si>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</si>
  <si>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</si>
  <si>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</si>
  <si>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</si>
  <si>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</si>
  <si>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</si>
  <si>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</si>
  <si>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</si>
  <si>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</si>
  <si>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</si>
  <si>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</si>
  <si>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</si>
  <si>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</si>
  <si>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</si>
  <si>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</si>
  <si>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</si>
  <si>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</si>
  <si>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</si>
  <si>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</si>
  <si>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</si>
  <si>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</si>
  <si>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</si>
  <si>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</si>
  <si>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</si>
  <si>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</si>
  <si>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</si>
  <si>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</si>
  <si>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</si>
  <si>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</si>
  <si>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</si>
  <si>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</si>
  <si>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</si>
  <si>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</si>
  <si>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</si>
  <si>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</si>
  <si>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</si>
  <si>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</si>
  <si>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</si>
  <si>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</si>
  <si>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</si>
  <si>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</si>
  <si>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</si>
  <si>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</si>
  <si>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</si>
  <si>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</si>
  <si>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</si>
  <si>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</si>
  <si>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</si>
  <si>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</si>
  <si>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</si>
  <si>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</si>
  <si>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</si>
  <si>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</si>
  <si>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</si>
  <si>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</si>
  <si>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</si>
  <si>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</si>
  <si>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</si>
  <si>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</si>
  <si>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</si>
  <si>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</si>
  <si>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</si>
  <si>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</si>
  <si>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</si>
  <si>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</si>
  <si>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</si>
  <si>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</si>
  <si>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</si>
  <si>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</si>
  <si>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</si>
  <si>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</si>
  <si>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</si>
  <si>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</si>
  <si>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</si>
  <si>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</si>
  <si>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</si>
  <si>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</si>
  <si>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</si>
  <si>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</si>
  <si>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</si>
  <si>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</si>
  <si>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</si>
  <si>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</si>
  <si>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</si>
  <si>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</si>
  <si>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</si>
  <si>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</si>
  <si>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</si>
  <si>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</si>
  <si>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</si>
  <si>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</si>
  <si>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</si>
  <si>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</si>
  <si>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</si>
  <si>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</si>
  <si>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</si>
  <si>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</si>
  <si>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</si>
  <si>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</si>
  <si>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</si>
  <si>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</si>
  <si>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</si>
  <si>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</si>
  <si>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</si>
  <si>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</si>
  <si>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</si>
  <si>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</si>
  <si>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</si>
  <si>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</si>
  <si>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</si>
  <si>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</si>
  <si>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</si>
  <si>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</si>
  <si>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</si>
  <si>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</si>
  <si>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</si>
  <si>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</si>
  <si>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</si>
  <si>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</si>
  <si>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</si>
  <si>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</si>
  <si>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</si>
  <si>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</si>
  <si>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</si>
  <si>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</si>
  <si>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</si>
  <si>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</si>
  <si>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</si>
  <si>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</si>
  <si>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</si>
  <si>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</si>
  <si>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</si>
  <si>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</si>
  <si>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</si>
  <si>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</si>
  <si>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</si>
  <si>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</si>
  <si>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</si>
  <si>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</si>
  <si>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</si>
  <si>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</si>
  <si>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</si>
  <si>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</si>
  <si>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</si>
  <si>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</si>
  <si>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</si>
  <si>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</si>
  <si>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</si>
  <si>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</si>
  <si>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</si>
  <si>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</si>
  <si>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</si>
  <si>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</si>
  <si>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</si>
  <si>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</si>
  <si>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</si>
  <si>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</si>
  <si>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</si>
  <si>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</si>
  <si>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</si>
  <si>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</si>
  <si>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</si>
  <si>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</si>
  <si>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</si>
  <si>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</si>
  <si>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</si>
  <si>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</si>
  <si>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</si>
  <si>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</si>
  <si>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</si>
  <si>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</si>
  <si>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</si>
  <si>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</si>
  <si>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</si>
  <si>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</si>
  <si>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</si>
  <si>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</si>
  <si>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</si>
  <si>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</si>
  <si>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</si>
  <si>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</si>
  <si>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</si>
  <si>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</si>
  <si>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</si>
  <si>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</si>
  <si>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</si>
  <si>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</si>
  <si>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</si>
  <si>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</si>
  <si>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</si>
  <si>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</si>
  <si>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</si>
  <si>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</si>
  <si>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</si>
  <si>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</si>
  <si>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</si>
  <si>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</si>
  <si>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</si>
  <si>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</si>
  <si>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</si>
  <si>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</si>
  <si>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</si>
  <si>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</si>
  <si>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</si>
  <si>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</si>
  <si>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</si>
  <si>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</si>
  <si>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</si>
  <si>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</si>
  <si>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</si>
  <si>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</si>
  <si>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</si>
  <si>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</si>
  <si>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</si>
  <si>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</si>
  <si>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</si>
  <si>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</si>
  <si>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</si>
  <si>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</si>
  <si>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</si>
  <si>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</si>
  <si>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</si>
  <si>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</si>
  <si>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</si>
  <si>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</si>
  <si>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</si>
  <si>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</si>
  <si>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</si>
  <si>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</si>
  <si>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</si>
  <si>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</si>
  <si>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</si>
  <si>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</si>
  <si>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</si>
  <si>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</si>
  <si>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</si>
  <si>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</si>
  <si>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</si>
  <si>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</si>
  <si>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</si>
  <si>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</si>
  <si>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</si>
  <si>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</si>
  <si>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</si>
  <si>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</si>
  <si>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</si>
  <si>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</si>
  <si>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</si>
  <si>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</si>
  <si>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</si>
  <si>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</si>
  <si>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</si>
  <si>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</si>
  <si>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</si>
  <si>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</si>
  <si>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</si>
  <si>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</si>
  <si>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</si>
  <si>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</si>
  <si>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</si>
  <si>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</si>
  <si>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</si>
  <si>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</si>
  <si>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</si>
  <si>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</si>
  <si>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</si>
  <si>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</si>
  <si>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</si>
  <si>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</si>
  <si>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</si>
  <si>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</si>
  <si>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</si>
  <si>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</si>
  <si>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</si>
  <si>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</si>
  <si>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</si>
  <si>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</si>
  <si>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</si>
  <si>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</si>
  <si>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</si>
  <si>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</si>
  <si>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</si>
  <si>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</si>
  <si>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</si>
  <si>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</si>
  <si>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</si>
  <si>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</si>
  <si>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</si>
  <si>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</si>
  <si>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</si>
  <si>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</si>
  <si>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</si>
  <si>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</si>
  <si>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</si>
  <si>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</si>
  <si>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</si>
  <si>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</si>
  <si>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</si>
  <si>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</si>
  <si>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</si>
  <si>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</si>
  <si>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</si>
  <si>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</si>
  <si>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</si>
  <si>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</si>
  <si>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</si>
  <si>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</si>
  <si>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</si>
  <si>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</si>
  <si>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</si>
  <si>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</si>
  <si>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</si>
  <si>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</si>
  <si>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</si>
  <si>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</si>
  <si>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</si>
  <si>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</si>
  <si>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</si>
  <si>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</si>
  <si>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</si>
  <si>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</si>
  <si>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</si>
  <si>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</si>
  <si>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</si>
  <si>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</si>
  <si>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</si>
  <si>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</si>
  <si>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</si>
  <si>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</si>
  <si>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</si>
  <si>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</si>
  <si>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</si>
  <si>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</si>
  <si>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</si>
  <si>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</si>
  <si>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</si>
  <si>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</si>
  <si>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</si>
  <si>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</si>
  <si>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</si>
  <si>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</si>
  <si>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</si>
  <si>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</si>
  <si>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</si>
  <si>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</si>
  <si>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</si>
  <si>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</si>
  <si>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</si>
  <si>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</si>
  <si>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</si>
  <si>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</si>
  <si>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</si>
  <si>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</si>
  <si>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</si>
  <si>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</si>
  <si>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</si>
  <si>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</si>
  <si>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</si>
  <si>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</si>
  <si>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</si>
  <si>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</si>
  <si>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</si>
  <si>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</si>
  <si>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</si>
  <si>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</si>
  <si>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</si>
  <si>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</si>
  <si>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</si>
  <si>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</si>
  <si>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</si>
  <si>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</si>
  <si>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</si>
  <si>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</si>
  <si>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</si>
  <si>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</si>
  <si>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</si>
  <si>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</si>
  <si>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</si>
  <si>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</si>
  <si>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</si>
  <si>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</si>
  <si>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</si>
  <si>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</si>
  <si>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</si>
  <si>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</si>
  <si>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</si>
  <si>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</si>
  <si>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</si>
  <si>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</si>
  <si>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</si>
  <si>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</si>
  <si>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</si>
  <si>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</si>
  <si>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</si>
  <si>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</si>
  <si>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</si>
  <si>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</si>
  <si>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</si>
  <si>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</si>
  <si>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</si>
  <si>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</si>
  <si>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</si>
  <si>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</si>
  <si>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</si>
  <si>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</si>
  <si>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</si>
  <si>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</si>
  <si>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</si>
  <si>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</si>
  <si>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</si>
  <si>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</si>
  <si>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</si>
  <si>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</si>
  <si>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</si>
  <si>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</si>
  <si>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</si>
  <si>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</si>
  <si>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</si>
  <si>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</si>
  <si>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</si>
  <si>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</si>
  <si>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</si>
  <si>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</si>
  <si>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</si>
  <si>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</si>
  <si>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</si>
  <si>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</si>
  <si>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</si>
  <si>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</si>
  <si>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</si>
  <si>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</si>
  <si>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</si>
  <si>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</si>
  <si>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</si>
  <si>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</si>
  <si>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</si>
  <si>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</si>
  <si>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</si>
  <si>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</si>
  <si>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</si>
  <si>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</si>
  <si>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</si>
  <si>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</si>
  <si>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</si>
  <si>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</si>
  <si>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</si>
  <si>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</si>
  <si>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</si>
  <si>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</si>
  <si>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</si>
  <si>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</si>
  <si>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</si>
  <si>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</si>
  <si>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</si>
  <si>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</si>
  <si>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</si>
  <si>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</si>
  <si>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</si>
  <si>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</si>
  <si>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</si>
  <si>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</si>
  <si>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</si>
  <si>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</si>
  <si>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</si>
  <si>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</si>
  <si>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</si>
  <si>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</si>
  <si>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</si>
  <si>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</si>
  <si>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</si>
  <si>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</si>
  <si>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</si>
  <si>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</si>
  <si>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</si>
  <si>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</si>
  <si>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</si>
  <si>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</si>
  <si>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</si>
  <si>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</si>
  <si>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</si>
  <si>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</si>
  <si>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</si>
  <si>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</si>
  <si>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</si>
  <si>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</si>
  <si>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</si>
  <si>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</si>
  <si>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</si>
  <si>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</si>
  <si>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</si>
  <si>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</si>
  <si>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</si>
  <si>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</si>
  <si>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</si>
  <si>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</si>
  <si>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</si>
  <si>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</si>
  <si>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</si>
  <si>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</si>
  <si>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</si>
  <si>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</si>
  <si>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</si>
  <si>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</si>
  <si>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</si>
  <si>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</si>
  <si>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</si>
  <si>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</si>
  <si>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</si>
  <si>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</si>
  <si>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</si>
  <si>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</si>
  <si>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</si>
  <si>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</si>
  <si>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</si>
  <si>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</si>
  <si>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</si>
  <si>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</si>
  <si>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</si>
  <si>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</si>
  <si>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</si>
  <si>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</si>
  <si>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</si>
  <si>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</si>
  <si>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</si>
  <si>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</si>
  <si>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</si>
  <si>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</si>
  <si>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</si>
  <si>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</si>
  <si>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</si>
  <si>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</si>
  <si>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</si>
  <si>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</si>
  <si>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</si>
  <si>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</si>
  <si>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</si>
  <si>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</si>
  <si>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</si>
  <si>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</si>
  <si>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</si>
  <si>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</si>
  <si>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</si>
  <si>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</si>
  <si>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</si>
  <si>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</si>
  <si>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</si>
  <si>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</si>
  <si>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</si>
  <si>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</si>
  <si>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</si>
  <si>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</si>
  <si>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</si>
  <si>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</si>
  <si>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</si>
  <si>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</si>
  <si>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</si>
  <si>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</si>
  <si>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</si>
  <si>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Fusée expérimentale.</t>
  </si>
  <si>
    <t>L'AéroIPSA</t>
  </si>
  <si>
    <t>Conique (droite)</t>
  </si>
  <si>
    <t>Plusieurs diamètres.</t>
  </si>
  <si>
    <t>SP02</t>
  </si>
  <si>
    <t>sans propu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</si>
</sst>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2"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45" fillId="0" borderId="83" xfId="2" applyFont="1" applyBorder="1" applyAlignment="1">
      <alignment horizontal="center"/>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0" fontId="2" fillId="12" borderId="15" xfId="0" applyFont="1" applyFill="1" applyBorder="1" applyAlignment="1" applyProtection="1">
      <alignment horizontal="center"/>
      <protection hidden="1"/>
    </xf>
    <xf numFmtId="166" fontId="2" fillId="17" borderId="46" xfId="0" applyNumberFormat="1" applyFont="1" applyFill="1" applyBorder="1" applyAlignment="1">
      <alignment horizontal="center" vertical="center"/>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0" fillId="0" borderId="0" xfId="0" applyAlignment="1">
      <alignment horizontal="center"/>
    </xf>
    <xf numFmtId="0" fontId="0" fillId="30" borderId="21" xfId="0" applyFill="1" applyBorder="1" applyAlignment="1">
      <alignment horizontal="center"/>
    </xf>
    <xf numFmtId="0" fontId="0" fillId="30" borderId="23" xfId="0" applyFill="1" applyBorder="1" applyAlignment="1">
      <alignment horizontal="center"/>
    </xf>
    <xf numFmtId="0" fontId="0" fillId="0" borderId="0" xfId="0"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0" borderId="33" xfId="0"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0" borderId="33" xfId="0"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02" xfId="0"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xf numFmtId="165" fontId="2" fillId="0" borderId="12" xfId="0" applyNumberFormat="1" applyFont="1" applyBorder="1" applyAlignment="1">
      <alignment horizontal="center" vertical="center"/>
    </xf>
    <xf numFmtId="1" fontId="2" fillId="0" borderId="12" xfId="0" applyNumberFormat="1" applyFont="1" applyBorder="1" applyAlignment="1">
      <alignment horizontal="center" vertic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-1</c:v>
                </c:pt>
                <c:pt idx="1">
                  <c:v>-1</c:v>
                </c:pt>
                <c:pt idx="2">
                  <c:v>-1</c:v>
                </c:pt>
                <c:pt idx="3">
                  <c:v>-61</c:v>
                </c:pt>
                <c:pt idx="4">
                  <c:v>-1070</c:v>
                </c:pt>
                <c:pt idx="5">
                  <c:v>-1120</c:v>
                </c:pt>
                <c:pt idx="6">
                  <c:v>-1120</c:v>
                </c:pt>
                <c:pt idx="7">
                  <c:v>-1120</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52</c:v>
                </c:pt>
                <c:pt idx="1">
                  <c:v>197</c:v>
                </c:pt>
                <c:pt idx="2">
                  <c:v>197</c:v>
                </c:pt>
                <c:pt idx="3">
                  <c:v>52</c:v>
                </c:pt>
                <c:pt idx="4">
                  <c:v>52</c:v>
                </c:pt>
              </c:numCache>
            </c:numRef>
          </c:xVal>
          <c:yVal>
            <c:numRef>
              <c:f>Stabilito!$C$132:$C$136</c:f>
              <c:numCache>
                <c:formatCode>0</c:formatCode>
                <c:ptCount val="5"/>
                <c:pt idx="0">
                  <c:v>-860</c:v>
                </c:pt>
                <c:pt idx="1">
                  <c:v>-1045</c:v>
                </c:pt>
                <c:pt idx="2">
                  <c:v>-1125</c:v>
                </c:pt>
                <c:pt idx="3">
                  <c:v>-1070</c:v>
                </c:pt>
                <c:pt idx="4">
                  <c:v>-860</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-1</c:v>
                </c:pt>
                <c:pt idx="1">
                  <c:v>-1</c:v>
                </c:pt>
                <c:pt idx="2">
                  <c:v>-1</c:v>
                </c:pt>
                <c:pt idx="3">
                  <c:v>-61</c:v>
                </c:pt>
                <c:pt idx="4">
                  <c:v>-1070</c:v>
                </c:pt>
                <c:pt idx="5">
                  <c:v>-1120</c:v>
                </c:pt>
                <c:pt idx="6">
                  <c:v>-1120</c:v>
                </c:pt>
                <c:pt idx="7">
                  <c:v>-1120</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-52</c:v>
                </c:pt>
                <c:pt idx="1">
                  <c:v>-197</c:v>
                </c:pt>
                <c:pt idx="2">
                  <c:v>-197</c:v>
                </c:pt>
                <c:pt idx="3">
                  <c:v>-52</c:v>
                </c:pt>
                <c:pt idx="4">
                  <c:v>-52</c:v>
                </c:pt>
              </c:numCache>
            </c:numRef>
          </c:xVal>
          <c:yVal>
            <c:numRef>
              <c:f>Stabilito!$C$132:$C$136</c:f>
              <c:numCache>
                <c:formatCode>0</c:formatCode>
                <c:ptCount val="5"/>
                <c:pt idx="0">
                  <c:v>-860</c:v>
                </c:pt>
                <c:pt idx="1">
                  <c:v>-1045</c:v>
                </c:pt>
                <c:pt idx="2">
                  <c:v>-1125</c:v>
                </c:pt>
                <c:pt idx="3">
                  <c:v>-1070</c:v>
                </c:pt>
                <c:pt idx="4">
                  <c:v>-860</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-601.77281778957854</c:v>
                </c:pt>
                <c:pt idx="1">
                  <c:v>-542.49088724213902</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112.3452515420376</c:v>
                </c:pt>
                <c:pt idx="2">
                  <c:v>112.3452515420376</c:v>
                </c:pt>
                <c:pt idx="3">
                  <c:v>0</c:v>
                </c:pt>
              </c:numCache>
            </c:numRef>
          </c:xVal>
          <c:yVal>
            <c:numRef>
              <c:f>Stabilito!$C$151:$C$154</c:f>
              <c:numCache>
                <c:formatCode>0</c:formatCode>
                <c:ptCount val="4"/>
                <c:pt idx="0">
                  <c:v>-853.14182571470383</c:v>
                </c:pt>
                <c:pt idx="1">
                  <c:v>-853.14182571470383</c:v>
                </c:pt>
                <c:pt idx="2">
                  <c:v>-853.14182571470383</c:v>
                </c:pt>
                <c:pt idx="3">
                  <c:v>-853.14182571470383</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373.33333333333331</c:v>
                </c:pt>
                <c:pt idx="1">
                  <c:v>-373.33333333333331</c:v>
                </c:pt>
              </c:numCache>
            </c:numRef>
          </c:xVal>
          <c:yVal>
            <c:numRef>
              <c:f>Stabilito!$C$168:$C$169</c:f>
              <c:numCache>
                <c:formatCode>0</c:formatCode>
                <c:ptCount val="2"/>
                <c:pt idx="0">
                  <c:v>-1136.25</c:v>
                </c:pt>
                <c:pt idx="1">
                  <c:v>-1136.25</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-27</c:v>
                </c:pt>
                <c:pt idx="1">
                  <c:v>27</c:v>
                </c:pt>
                <c:pt idx="2">
                  <c:v>27</c:v>
                </c:pt>
                <c:pt idx="3">
                  <c:v>-27</c:v>
                </c:pt>
                <c:pt idx="4">
                  <c:v>-27</c:v>
                </c:pt>
              </c:numCache>
            </c:numRef>
          </c:xVal>
          <c:yVal>
            <c:numRef>
              <c:f>Stabilito!$C$170:$C$174</c:f>
              <c:numCache>
                <c:formatCode>0</c:formatCode>
                <c:ptCount val="5"/>
                <c:pt idx="0">
                  <c:v>-632</c:v>
                </c:pt>
                <c:pt idx="1">
                  <c:v>-632</c:v>
                </c:pt>
                <c:pt idx="2">
                  <c:v>-1120</c:v>
                </c:pt>
                <c:pt idx="3">
                  <c:v>-1120</c:v>
                </c:pt>
                <c:pt idx="4">
                  <c:v>-632</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-0.1</c:v>
                </c:pt>
                <c:pt idx="2">
                  <c:v>-0.25</c:v>
                </c:pt>
                <c:pt idx="3">
                  <c:v>-0.5</c:v>
                </c:pt>
                <c:pt idx="4">
                  <c:v>-0.75</c:v>
                </c:pt>
                <c:pt idx="5">
                  <c:v>-1</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-0.1</c:v>
                </c:pt>
                <c:pt idx="2">
                  <c:v>-0.25</c:v>
                </c:pt>
                <c:pt idx="3">
                  <c:v>-0.5</c:v>
                </c:pt>
                <c:pt idx="4">
                  <c:v>-0.75</c:v>
                </c:pt>
                <c:pt idx="5">
                  <c:v>-1</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-197</c:v>
                </c:pt>
                <c:pt idx="1">
                  <c:v>-124.5</c:v>
                </c:pt>
                <c:pt idx="2">
                  <c:v>-52</c:v>
                </c:pt>
              </c:numCache>
            </c:numRef>
          </c:xVal>
          <c:yVal>
            <c:numRef>
              <c:f>Stabilito!$C$137:$C$139</c:f>
              <c:numCache>
                <c:formatCode>0</c:formatCode>
                <c:ptCount val="3"/>
                <c:pt idx="0">
                  <c:v>-1162.3333333333333</c:v>
                </c:pt>
                <c:pt idx="1">
                  <c:v>-1162.3333333333333</c:v>
                </c:pt>
                <c:pt idx="2">
                  <c:v>-1162.3333333333333</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-234.33333333333334</c:v>
                </c:pt>
                <c:pt idx="1">
                  <c:v>-234.33333333333334</c:v>
                </c:pt>
                <c:pt idx="2">
                  <c:v>-234.33333333333334</c:v>
                </c:pt>
              </c:numCache>
            </c:numRef>
          </c:xVal>
          <c:yVal>
            <c:numRef>
              <c:f>Stabilito!$C$143:$C$145</c:f>
              <c:numCache>
                <c:formatCode>0</c:formatCode>
                <c:ptCount val="3"/>
                <c:pt idx="0">
                  <c:v>-860</c:v>
                </c:pt>
                <c:pt idx="1">
                  <c:v>-952.5</c:v>
                </c:pt>
                <c:pt idx="2">
                  <c:v>-1045</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-253</c:v>
                </c:pt>
                <c:pt idx="1">
                  <c:v>-253</c:v>
                </c:pt>
                <c:pt idx="2">
                  <c:v>-253</c:v>
                </c:pt>
              </c:numCache>
            </c:numRef>
          </c:xVal>
          <c:yVal>
            <c:numRef>
              <c:f>Stabilito!$C$146:$C$148</c:f>
              <c:numCache>
                <c:formatCode>0</c:formatCode>
                <c:ptCount val="3"/>
                <c:pt idx="0">
                  <c:v>-1045</c:v>
                </c:pt>
                <c:pt idx="1">
                  <c:v>-1085</c:v>
                </c:pt>
                <c:pt idx="2">
                  <c:v>-1125</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253</c:v>
                </c:pt>
                <c:pt idx="1">
                  <c:v>253</c:v>
                </c:pt>
                <c:pt idx="2">
                  <c:v>253</c:v>
                </c:pt>
              </c:numCache>
            </c:numRef>
          </c:xVal>
          <c:yVal>
            <c:numRef>
              <c:f>Stabilito!$C$140:$C$142</c:f>
              <c:numCache>
                <c:formatCode>0</c:formatCode>
                <c:ptCount val="3"/>
                <c:pt idx="0">
                  <c:v>-860</c:v>
                </c:pt>
                <c:pt idx="1">
                  <c:v>-965</c:v>
                </c:pt>
                <c:pt idx="2">
                  <c:v>-1070</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-253</c:v>
                </c:pt>
                <c:pt idx="1">
                  <c:v>-253</c:v>
                </c:pt>
                <c:pt idx="2">
                  <c:v>-253</c:v>
                </c:pt>
              </c:numCache>
            </c:numRef>
          </c:xVal>
          <c:yVal>
            <c:numRef>
              <c:f>Stabilito!$C$155:$C$157</c:f>
              <c:numCache>
                <c:formatCode>0</c:formatCode>
                <c:ptCount val="3"/>
                <c:pt idx="0">
                  <c:v>-572.13185251585878</c:v>
                </c:pt>
                <c:pt idx="1">
                  <c:v>-712.6368391152813</c:v>
                </c:pt>
                <c:pt idx="2">
                  <c:v>-853.14182571470383</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2.4170096915877433</c:v>
                </c:pt>
                <c:pt idx="1">
                  <c:v>2.4170096915877433</c:v>
                </c:pt>
                <c:pt idx="2">
                  <c:v>2.9870282545438922</c:v>
                </c:pt>
                <c:pt idx="3">
                  <c:v>2.9870282545438922</c:v>
                </c:pt>
              </c:numCache>
            </c:numRef>
          </c:xVal>
          <c:yVal>
            <c:numRef>
              <c:f>Stabilito!$C$190:$C$193</c:f>
              <c:numCache>
                <c:formatCode>0.00</c:formatCode>
                <c:ptCount val="4"/>
                <c:pt idx="0">
                  <c:v>16.203642049332345</c:v>
                </c:pt>
                <c:pt idx="1">
                  <c:v>16.203642049332345</c:v>
                </c:pt>
                <c:pt idx="2">
                  <c:v>16.203642049332345</c:v>
                </c:pt>
                <c:pt idx="3">
                  <c:v>16.203642049332345</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2.9870282545438922</c:v>
                </c:pt>
                <c:pt idx="1">
                  <c:v>2.4170096915877433</c:v>
                </c:pt>
              </c:numCache>
            </c:numRef>
          </c:xVal>
          <c:yVal>
            <c:numRef>
              <c:f>Stabilito!$C$193:$C$194</c:f>
              <c:numCache>
                <c:formatCode>0.00</c:formatCode>
                <c:ptCount val="2"/>
                <c:pt idx="0">
                  <c:v>16.203642049332345</c:v>
                </c:pt>
                <c:pt idx="1">
                  <c:v>16.203642049332345</c:v>
                </c:pt>
              </c:numCache>
            </c:numRef>
          </c:yVal>
          <c:smooth val="0"/>
          <c:extLst>
            <c:ext xmlns:c16="http://schemas.microsoft.com/office/drawing/2014/chart" uri="{C3380CC4-5D6E-409C-BE32-E72D297353CC}">
              <c16:uniqueId val="{0000000B-DD97-4068-951F-4990D529CDCA}"/>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2142.3631619277116</c:v>
                </c:pt>
              </c:numCache>
            </c:numRef>
          </c:xVal>
          <c:yVal>
            <c:numRef>
              <c:f>Trajecto!$C$121</c:f>
              <c:numCache>
                <c:formatCode>0</c:formatCode>
                <c:ptCount val="1"/>
                <c:pt idx="0">
                  <c:v>2142.3631619277116</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28.078751242333453</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74.496518831256083</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131.63775682226373</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188.65861771078985</c:v>
                </c:pt>
                <c:pt idx="401">
                  <c:v>#N/A</c:v>
                </c:pt>
                <c:pt idx="402">
                  <c:v>#N/A</c:v>
                </c:pt>
                <c:pt idx="403">
                  <c:v>#N/A</c:v>
                </c:pt>
                <c:pt idx="404">
                  <c:v>#N/A</c:v>
                </c:pt>
                <c:pt idx="405">
                  <c:v>#N/A</c:v>
                </c:pt>
                <c:pt idx="406">
                  <c:v>#N/A</c:v>
                </c:pt>
                <c:pt idx="407">
                  <c:v>#N/A</c:v>
                </c:pt>
                <c:pt idx="408">
                  <c:v>#N/A</c:v>
                </c:pt>
                <c:pt idx="409">
                  <c:v>#N/A</c:v>
                </c:pt>
                <c:pt idx="410">
                  <c:v>236.60535877383842</c:v>
                </c:pt>
                <c:pt idx="411">
                  <c:v>#N/A</c:v>
                </c:pt>
                <c:pt idx="412">
                  <c:v>#N/A</c:v>
                </c:pt>
                <c:pt idx="413">
                  <c:v>#N/A</c:v>
                </c:pt>
                <c:pt idx="414">
                  <c:v>#N/A</c:v>
                </c:pt>
                <c:pt idx="415">
                  <c:v>#N/A</c:v>
                </c:pt>
                <c:pt idx="416">
                  <c:v>#N/A</c:v>
                </c:pt>
                <c:pt idx="417">
                  <c:v>#N/A</c:v>
                </c:pt>
                <c:pt idx="418">
                  <c:v>#N/A</c:v>
                </c:pt>
                <c:pt idx="419">
                  <c:v>#N/A</c:v>
                </c:pt>
                <c:pt idx="420">
                  <c:v>277.87222824974191</c:v>
                </c:pt>
                <c:pt idx="421">
                  <c:v>#N/A</c:v>
                </c:pt>
                <c:pt idx="422">
                  <c:v>#N/A</c:v>
                </c:pt>
                <c:pt idx="423">
                  <c:v>#N/A</c:v>
                </c:pt>
                <c:pt idx="424">
                  <c:v>#N/A</c:v>
                </c:pt>
                <c:pt idx="425">
                  <c:v>#N/A</c:v>
                </c:pt>
                <c:pt idx="426">
                  <c:v>#N/A</c:v>
                </c:pt>
                <c:pt idx="427">
                  <c:v>#N/A</c:v>
                </c:pt>
                <c:pt idx="428">
                  <c:v>#N/A</c:v>
                </c:pt>
                <c:pt idx="429">
                  <c:v>#N/A</c:v>
                </c:pt>
                <c:pt idx="430">
                  <c:v>314.40858899646622</c:v>
                </c:pt>
                <c:pt idx="431">
                  <c:v>#N/A</c:v>
                </c:pt>
                <c:pt idx="432">
                  <c:v>#N/A</c:v>
                </c:pt>
                <c:pt idx="433">
                  <c:v>#N/A</c:v>
                </c:pt>
                <c:pt idx="434">
                  <c:v>#N/A</c:v>
                </c:pt>
                <c:pt idx="435">
                  <c:v>#N/A</c:v>
                </c:pt>
                <c:pt idx="436">
                  <c:v>#N/A</c:v>
                </c:pt>
                <c:pt idx="437">
                  <c:v>#N/A</c:v>
                </c:pt>
                <c:pt idx="438">
                  <c:v>#N/A</c:v>
                </c:pt>
                <c:pt idx="439">
                  <c:v>#N/A</c:v>
                </c:pt>
                <c:pt idx="440">
                  <c:v>347.44484861855494</c:v>
                </c:pt>
                <c:pt idx="441">
                  <c:v>#N/A</c:v>
                </c:pt>
                <c:pt idx="442">
                  <c:v>#N/A</c:v>
                </c:pt>
                <c:pt idx="443">
                  <c:v>#N/A</c:v>
                </c:pt>
                <c:pt idx="444">
                  <c:v>#N/A</c:v>
                </c:pt>
                <c:pt idx="445">
                  <c:v>#N/A</c:v>
                </c:pt>
                <c:pt idx="446">
                  <c:v>#N/A</c:v>
                </c:pt>
                <c:pt idx="447">
                  <c:v>#N/A</c:v>
                </c:pt>
                <c:pt idx="448">
                  <c:v>#N/A</c:v>
                </c:pt>
                <c:pt idx="449">
                  <c:v>#N/A</c:v>
                </c:pt>
                <c:pt idx="450">
                  <c:v>377.81262612342937</c:v>
                </c:pt>
                <c:pt idx="451">
                  <c:v>#N/A</c:v>
                </c:pt>
                <c:pt idx="452">
                  <c:v>#N/A</c:v>
                </c:pt>
                <c:pt idx="453">
                  <c:v>#N/A</c:v>
                </c:pt>
                <c:pt idx="454">
                  <c:v>#N/A</c:v>
                </c:pt>
                <c:pt idx="455">
                  <c:v>#N/A</c:v>
                </c:pt>
                <c:pt idx="456">
                  <c:v>#N/A</c:v>
                </c:pt>
                <c:pt idx="457">
                  <c:v>#N/A</c:v>
                </c:pt>
                <c:pt idx="458">
                  <c:v>#N/A</c:v>
                </c:pt>
                <c:pt idx="459">
                  <c:v>#N/A</c:v>
                </c:pt>
                <c:pt idx="460">
                  <c:v>406.10416782027096</c:v>
                </c:pt>
                <c:pt idx="461">
                  <c:v>#N/A</c:v>
                </c:pt>
                <c:pt idx="462">
                  <c:v>#N/A</c:v>
                </c:pt>
                <c:pt idx="463">
                  <c:v>#N/A</c:v>
                </c:pt>
                <c:pt idx="464">
                  <c:v>#N/A</c:v>
                </c:pt>
                <c:pt idx="465">
                  <c:v>#N/A</c:v>
                </c:pt>
                <c:pt idx="466">
                  <c:v>#N/A</c:v>
                </c:pt>
                <c:pt idx="467">
                  <c:v>#N/A</c:v>
                </c:pt>
                <c:pt idx="468">
                  <c:v>#N/A</c:v>
                </c:pt>
                <c:pt idx="469">
                  <c:v>#N/A</c:v>
                </c:pt>
                <c:pt idx="470">
                  <c:v>432.75929415888766</c:v>
                </c:pt>
                <c:pt idx="471">
                  <c:v>#N/A</c:v>
                </c:pt>
                <c:pt idx="472">
                  <c:v>#N/A</c:v>
                </c:pt>
                <c:pt idx="473">
                  <c:v>#N/A</c:v>
                </c:pt>
                <c:pt idx="474">
                  <c:v>#N/A</c:v>
                </c:pt>
                <c:pt idx="475">
                  <c:v>#N/A</c:v>
                </c:pt>
                <c:pt idx="476">
                  <c:v>#N/A</c:v>
                </c:pt>
                <c:pt idx="477">
                  <c:v>#N/A</c:v>
                </c:pt>
                <c:pt idx="478">
                  <c:v>#N/A</c:v>
                </c:pt>
                <c:pt idx="479">
                  <c:v>#N/A</c:v>
                </c:pt>
                <c:pt idx="480">
                  <c:v>458.116159685512</c:v>
                </c:pt>
                <c:pt idx="481">
                  <c:v>#N/A</c:v>
                </c:pt>
                <c:pt idx="482">
                  <c:v>#N/A</c:v>
                </c:pt>
                <c:pt idx="483">
                  <c:v>#N/A</c:v>
                </c:pt>
                <c:pt idx="484">
                  <c:v>#N/A</c:v>
                </c:pt>
                <c:pt idx="485">
                  <c:v>#N/A</c:v>
                </c:pt>
                <c:pt idx="486">
                  <c:v>#N/A</c:v>
                </c:pt>
                <c:pt idx="487">
                  <c:v>#N/A</c:v>
                </c:pt>
                <c:pt idx="488">
                  <c:v>#N/A</c:v>
                </c:pt>
                <c:pt idx="489">
                  <c:v>#N/A</c:v>
                </c:pt>
                <c:pt idx="490">
                  <c:v>482.44238414509107</c:v>
                </c:pt>
                <c:pt idx="491">
                  <c:v>#N/A</c:v>
                </c:pt>
                <c:pt idx="492">
                  <c:v>#N/A</c:v>
                </c:pt>
                <c:pt idx="493">
                  <c:v>#N/A</c:v>
                </c:pt>
                <c:pt idx="494">
                  <c:v>#N/A</c:v>
                </c:pt>
                <c:pt idx="495">
                  <c:v>#N/A</c:v>
                </c:pt>
                <c:pt idx="496">
                  <c:v>#N/A</c:v>
                </c:pt>
                <c:pt idx="497">
                  <c:v>#N/A</c:v>
                </c:pt>
                <c:pt idx="498">
                  <c:v>#N/A</c:v>
                </c:pt>
                <c:pt idx="499">
                  <c:v>#N/A</c:v>
                </c:pt>
                <c:pt idx="500">
                  <c:v>505.95463680058253</c:v>
                </c:pt>
                <c:pt idx="501">
                  <c:v>#N/A</c:v>
                </c:pt>
                <c:pt idx="502">
                  <c:v>#N/A</c:v>
                </c:pt>
                <c:pt idx="503">
                  <c:v>#N/A</c:v>
                </c:pt>
                <c:pt idx="504">
                  <c:v>#N/A</c:v>
                </c:pt>
                <c:pt idx="505">
                  <c:v>#N/A</c:v>
                </c:pt>
                <c:pt idx="506">
                  <c:v>#N/A</c:v>
                </c:pt>
                <c:pt idx="507">
                  <c:v>#N/A</c:v>
                </c:pt>
                <c:pt idx="508">
                  <c:v>#N/A</c:v>
                </c:pt>
                <c:pt idx="509">
                  <c:v>#N/A</c:v>
                </c:pt>
                <c:pt idx="510">
                  <c:v>528.83059334106736</c:v>
                </c:pt>
                <c:pt idx="511">
                  <c:v>#N/A</c:v>
                </c:pt>
                <c:pt idx="512">
                  <c:v>#N/A</c:v>
                </c:pt>
                <c:pt idx="513">
                  <c:v>#N/A</c:v>
                </c:pt>
                <c:pt idx="514">
                  <c:v>#N/A</c:v>
                </c:pt>
                <c:pt idx="515">
                  <c:v>#N/A</c:v>
                </c:pt>
                <c:pt idx="516">
                  <c:v>#N/A</c:v>
                </c:pt>
                <c:pt idx="517">
                  <c:v>#N/A</c:v>
                </c:pt>
                <c:pt idx="518">
                  <c:v>#N/A</c:v>
                </c:pt>
                <c:pt idx="519">
                  <c:v>#N/A</c:v>
                </c:pt>
                <c:pt idx="520">
                  <c:v>551.21459327469768</c:v>
                </c:pt>
                <c:pt idx="521">
                  <c:v>#N/A</c:v>
                </c:pt>
                <c:pt idx="522">
                  <c:v>#N/A</c:v>
                </c:pt>
                <c:pt idx="523">
                  <c:v>#N/A</c:v>
                </c:pt>
                <c:pt idx="524">
                  <c:v>#N/A</c:v>
                </c:pt>
                <c:pt idx="525">
                  <c:v>#N/A</c:v>
                </c:pt>
                <c:pt idx="526">
                  <c:v>#N/A</c:v>
                </c:pt>
                <c:pt idx="527">
                  <c:v>#N/A</c:v>
                </c:pt>
                <c:pt idx="528">
                  <c:v>#N/A</c:v>
                </c:pt>
                <c:pt idx="529">
                  <c:v>#N/A</c:v>
                </c:pt>
                <c:pt idx="530">
                  <c:v>573.21606528852476</c:v>
                </c:pt>
                <c:pt idx="531">
                  <c:v>#N/A</c:v>
                </c:pt>
                <c:pt idx="532">
                  <c:v>#N/A</c:v>
                </c:pt>
                <c:pt idx="533">
                  <c:v>#N/A</c:v>
                </c:pt>
                <c:pt idx="534">
                  <c:v>#N/A</c:v>
                </c:pt>
                <c:pt idx="535">
                  <c:v>#N/A</c:v>
                </c:pt>
                <c:pt idx="536">
                  <c:v>#N/A</c:v>
                </c:pt>
                <c:pt idx="537">
                  <c:v>#N/A</c:v>
                </c:pt>
                <c:pt idx="538">
                  <c:v>#N/A</c:v>
                </c:pt>
                <c:pt idx="539">
                  <c:v>#N/A</c:v>
                </c:pt>
                <c:pt idx="540">
                  <c:v>594.89919964524324</c:v>
                </c:pt>
                <c:pt idx="541">
                  <c:v>#N/A</c:v>
                </c:pt>
                <c:pt idx="542">
                  <c:v>#N/A</c:v>
                </c:pt>
                <c:pt idx="543">
                  <c:v>#N/A</c:v>
                </c:pt>
                <c:pt idx="544">
                  <c:v>#N/A</c:v>
                </c:pt>
                <c:pt idx="545">
                  <c:v>#N/A</c:v>
                </c:pt>
                <c:pt idx="546">
                  <c:v>#N/A</c:v>
                </c:pt>
                <c:pt idx="547">
                  <c:v>#N/A</c:v>
                </c:pt>
                <c:pt idx="548">
                  <c:v>#N/A</c:v>
                </c:pt>
                <c:pt idx="549">
                  <c:v>#N/A</c:v>
                </c:pt>
                <c:pt idx="550">
                  <c:v>616.27110240690388</c:v>
                </c:pt>
                <c:pt idx="551">
                  <c:v>#N/A</c:v>
                </c:pt>
                <c:pt idx="552">
                  <c:v>#N/A</c:v>
                </c:pt>
                <c:pt idx="553">
                  <c:v>#N/A</c:v>
                </c:pt>
                <c:pt idx="554">
                  <c:v>#N/A</c:v>
                </c:pt>
                <c:pt idx="555">
                  <c:v>#N/A</c:v>
                </c:pt>
                <c:pt idx="556">
                  <c:v>#N/A</c:v>
                </c:pt>
                <c:pt idx="557">
                  <c:v>#N/A</c:v>
                </c:pt>
                <c:pt idx="558">
                  <c:v>#N/A</c:v>
                </c:pt>
                <c:pt idx="559">
                  <c:v>#N/A</c:v>
                </c:pt>
                <c:pt idx="560">
                  <c:v>637.28710437527434</c:v>
                </c:pt>
                <c:pt idx="561">
                  <c:v>#N/A</c:v>
                </c:pt>
                <c:pt idx="562">
                  <c:v>#N/A</c:v>
                </c:pt>
                <c:pt idx="563">
                  <c:v>#N/A</c:v>
                </c:pt>
                <c:pt idx="564">
                  <c:v>#N/A</c:v>
                </c:pt>
                <c:pt idx="565">
                  <c:v>#N/A</c:v>
                </c:pt>
                <c:pt idx="566">
                  <c:v>#N/A</c:v>
                </c:pt>
                <c:pt idx="567">
                  <c:v>#N/A</c:v>
                </c:pt>
                <c:pt idx="568">
                  <c:v>#N/A</c:v>
                </c:pt>
                <c:pt idx="569">
                  <c:v>#N/A</c:v>
                </c:pt>
                <c:pt idx="570">
                  <c:v>657.87256911353643</c:v>
                </c:pt>
                <c:pt idx="571">
                  <c:v>#N/A</c:v>
                </c:pt>
                <c:pt idx="572">
                  <c:v>#N/A</c:v>
                </c:pt>
                <c:pt idx="573">
                  <c:v>#N/A</c:v>
                </c:pt>
                <c:pt idx="574">
                  <c:v>#N/A</c:v>
                </c:pt>
                <c:pt idx="575">
                  <c:v>#N/A</c:v>
                </c:pt>
                <c:pt idx="576">
                  <c:v>#N/A</c:v>
                </c:pt>
                <c:pt idx="577">
                  <c:v>#N/A</c:v>
                </c:pt>
                <c:pt idx="578">
                  <c:v>#N/A</c:v>
                </c:pt>
                <c:pt idx="579">
                  <c:v>#N/A</c:v>
                </c:pt>
                <c:pt idx="580">
                  <c:v>677.94260426904634</c:v>
                </c:pt>
                <c:pt idx="581">
                  <c:v>#N/A</c:v>
                </c:pt>
                <c:pt idx="582">
                  <c:v>#N/A</c:v>
                </c:pt>
                <c:pt idx="583">
                  <c:v>#N/A</c:v>
                </c:pt>
                <c:pt idx="584">
                  <c:v>#N/A</c:v>
                </c:pt>
                <c:pt idx="585">
                  <c:v>#N/A</c:v>
                </c:pt>
                <c:pt idx="586">
                  <c:v>#N/A</c:v>
                </c:pt>
                <c:pt idx="587">
                  <c:v>#N/A</c:v>
                </c:pt>
                <c:pt idx="588">
                  <c:v>#N/A</c:v>
                </c:pt>
                <c:pt idx="589">
                  <c:v>#N/A</c:v>
                </c:pt>
                <c:pt idx="590">
                  <c:v>697.41369761033718</c:v>
                </c:pt>
                <c:pt idx="591">
                  <c:v>#N/A</c:v>
                </c:pt>
                <c:pt idx="592">
                  <c:v>#N/A</c:v>
                </c:pt>
                <c:pt idx="593">
                  <c:v>#N/A</c:v>
                </c:pt>
                <c:pt idx="594">
                  <c:v>#N/A</c:v>
                </c:pt>
                <c:pt idx="595">
                  <c:v>#N/A</c:v>
                </c:pt>
                <c:pt idx="596">
                  <c:v>#N/A</c:v>
                </c:pt>
                <c:pt idx="597">
                  <c:v>#N/A</c:v>
                </c:pt>
                <c:pt idx="598">
                  <c:v>#N/A</c:v>
                </c:pt>
                <c:pt idx="599">
                  <c:v>#N/A</c:v>
                </c:pt>
                <c:pt idx="600">
                  <c:v>716.21001537873747</c:v>
                </c:pt>
                <c:pt idx="601">
                  <c:v>#N/A</c:v>
                </c:pt>
                <c:pt idx="602">
                  <c:v>#N/A</c:v>
                </c:pt>
                <c:pt idx="603">
                  <c:v>#N/A</c:v>
                </c:pt>
                <c:pt idx="604">
                  <c:v>#N/A</c:v>
                </c:pt>
                <c:pt idx="605">
                  <c:v>#N/A</c:v>
                </c:pt>
                <c:pt idx="606">
                  <c:v>#N/A</c:v>
                </c:pt>
                <c:pt idx="607">
                  <c:v>#N/A</c:v>
                </c:pt>
                <c:pt idx="608">
                  <c:v>#N/A</c:v>
                </c:pt>
                <c:pt idx="609">
                  <c:v>#N/A</c:v>
                </c:pt>
                <c:pt idx="610">
                  <c:v>734.26681250159436</c:v>
                </c:pt>
                <c:pt idx="611">
                  <c:v>#N/A</c:v>
                </c:pt>
                <c:pt idx="612">
                  <c:v>#N/A</c:v>
                </c:pt>
                <c:pt idx="613">
                  <c:v>#N/A</c:v>
                </c:pt>
                <c:pt idx="614">
                  <c:v>#N/A</c:v>
                </c:pt>
                <c:pt idx="615">
                  <c:v>#N/A</c:v>
                </c:pt>
                <c:pt idx="616">
                  <c:v>#N/A</c:v>
                </c:pt>
                <c:pt idx="617">
                  <c:v>#N/A</c:v>
                </c:pt>
                <c:pt idx="618">
                  <c:v>#N/A</c:v>
                </c:pt>
                <c:pt idx="619">
                  <c:v>#N/A</c:v>
                </c:pt>
                <c:pt idx="620">
                  <c:v>751.53214531795902</c:v>
                </c:pt>
                <c:pt idx="621">
                  <c:v>#N/A</c:v>
                </c:pt>
                <c:pt idx="622">
                  <c:v>#N/A</c:v>
                </c:pt>
                <c:pt idx="623">
                  <c:v>#N/A</c:v>
                </c:pt>
                <c:pt idx="624">
                  <c:v>#N/A</c:v>
                </c:pt>
                <c:pt idx="625">
                  <c:v>#N/A</c:v>
                </c:pt>
                <c:pt idx="626">
                  <c:v>#N/A</c:v>
                </c:pt>
                <c:pt idx="627">
                  <c:v>#N/A</c:v>
                </c:pt>
                <c:pt idx="628">
                  <c:v>#N/A</c:v>
                </c:pt>
                <c:pt idx="629">
                  <c:v>#N/A</c:v>
                </c:pt>
                <c:pt idx="630">
                  <c:v>767.96746098209599</c:v>
                </c:pt>
                <c:pt idx="631">
                  <c:v>#N/A</c:v>
                </c:pt>
                <c:pt idx="632">
                  <c:v>#N/A</c:v>
                </c:pt>
                <c:pt idx="633">
                  <c:v>#N/A</c:v>
                </c:pt>
                <c:pt idx="634">
                  <c:v>#N/A</c:v>
                </c:pt>
                <c:pt idx="635">
                  <c:v>#N/A</c:v>
                </c:pt>
                <c:pt idx="636">
                  <c:v>#N/A</c:v>
                </c:pt>
                <c:pt idx="637">
                  <c:v>#N/A</c:v>
                </c:pt>
                <c:pt idx="638">
                  <c:v>#N/A</c:v>
                </c:pt>
                <c:pt idx="639">
                  <c:v>#N/A</c:v>
                </c:pt>
                <c:pt idx="640">
                  <c:v>783.54739243581423</c:v>
                </c:pt>
                <c:pt idx="641">
                  <c:v>#N/A</c:v>
                </c:pt>
                <c:pt idx="642">
                  <c:v>#N/A</c:v>
                </c:pt>
                <c:pt idx="643">
                  <c:v>#N/A</c:v>
                </c:pt>
                <c:pt idx="644">
                  <c:v>#N/A</c:v>
                </c:pt>
                <c:pt idx="645">
                  <c:v>#N/A</c:v>
                </c:pt>
                <c:pt idx="646">
                  <c:v>#N/A</c:v>
                </c:pt>
                <c:pt idx="647">
                  <c:v>#N/A</c:v>
                </c:pt>
                <c:pt idx="648">
                  <c:v>#N/A</c:v>
                </c:pt>
                <c:pt idx="649">
                  <c:v>#N/A</c:v>
                </c:pt>
                <c:pt idx="650">
                  <c:v>798.25898866812508</c:v>
                </c:pt>
                <c:pt idx="651">
                  <c:v>#N/A</c:v>
                </c:pt>
                <c:pt idx="652">
                  <c:v>#N/A</c:v>
                </c:pt>
                <c:pt idx="653">
                  <c:v>#N/A</c:v>
                </c:pt>
                <c:pt idx="654">
                  <c:v>#N/A</c:v>
                </c:pt>
                <c:pt idx="655">
                  <c:v>#N/A</c:v>
                </c:pt>
                <c:pt idx="656">
                  <c:v>#N/A</c:v>
                </c:pt>
                <c:pt idx="657">
                  <c:v>#N/A</c:v>
                </c:pt>
                <c:pt idx="658">
                  <c:v>#N/A</c:v>
                </c:pt>
                <c:pt idx="659">
                  <c:v>#N/A</c:v>
                </c:pt>
                <c:pt idx="660">
                  <c:v>812.10056235316745</c:v>
                </c:pt>
                <c:pt idx="661">
                  <c:v>#N/A</c:v>
                </c:pt>
                <c:pt idx="662">
                  <c:v>#N/A</c:v>
                </c:pt>
                <c:pt idx="663">
                  <c:v>#N/A</c:v>
                </c:pt>
                <c:pt idx="664">
                  <c:v>#N/A</c:v>
                </c:pt>
                <c:pt idx="665">
                  <c:v>#N/A</c:v>
                </c:pt>
                <c:pt idx="666">
                  <c:v>#N/A</c:v>
                </c:pt>
                <c:pt idx="667">
                  <c:v>#N/A</c:v>
                </c:pt>
                <c:pt idx="668">
                  <c:v>#N/A</c:v>
                </c:pt>
                <c:pt idx="669">
                  <c:v>#N/A</c:v>
                </c:pt>
                <c:pt idx="670">
                  <c:v>825.08030549951411</c:v>
                </c:pt>
                <c:pt idx="671">
                  <c:v>#N/A</c:v>
                </c:pt>
                <c:pt idx="672">
                  <c:v>#N/A</c:v>
                </c:pt>
                <c:pt idx="673">
                  <c:v>#N/A</c:v>
                </c:pt>
                <c:pt idx="674">
                  <c:v>#N/A</c:v>
                </c:pt>
                <c:pt idx="675">
                  <c:v>#N/A</c:v>
                </c:pt>
                <c:pt idx="676">
                  <c:v>#N/A</c:v>
                </c:pt>
                <c:pt idx="677">
                  <c:v>#N/A</c:v>
                </c:pt>
                <c:pt idx="678">
                  <c:v>#N/A</c:v>
                </c:pt>
                <c:pt idx="679">
                  <c:v>#N/A</c:v>
                </c:pt>
                <c:pt idx="680">
                  <c:v>837.21479641614314</c:v>
                </c:pt>
                <c:pt idx="681">
                  <c:v>#N/A</c:v>
                </c:pt>
                <c:pt idx="682">
                  <c:v>#N/A</c:v>
                </c:pt>
                <c:pt idx="683">
                  <c:v>#N/A</c:v>
                </c:pt>
                <c:pt idx="684">
                  <c:v>#N/A</c:v>
                </c:pt>
                <c:pt idx="685">
                  <c:v>#N/A</c:v>
                </c:pt>
                <c:pt idx="686">
                  <c:v>#N/A</c:v>
                </c:pt>
                <c:pt idx="687">
                  <c:v>#N/A</c:v>
                </c:pt>
                <c:pt idx="688">
                  <c:v>#N/A</c:v>
                </c:pt>
                <c:pt idx="689">
                  <c:v>#N/A</c:v>
                </c:pt>
                <c:pt idx="690">
                  <c:v>848.5274950688696</c:v>
                </c:pt>
                <c:pt idx="691">
                  <c:v>#N/A</c:v>
                </c:pt>
                <c:pt idx="692">
                  <c:v>#N/A</c:v>
                </c:pt>
                <c:pt idx="693">
                  <c:v>#N/A</c:v>
                </c:pt>
                <c:pt idx="694">
                  <c:v>#N/A</c:v>
                </c:pt>
                <c:pt idx="695">
                  <c:v>#N/A</c:v>
                </c:pt>
                <c:pt idx="696">
                  <c:v>#N/A</c:v>
                </c:pt>
                <c:pt idx="697">
                  <c:v>#N/A</c:v>
                </c:pt>
                <c:pt idx="698">
                  <c:v>#N/A</c:v>
                </c:pt>
                <c:pt idx="699">
                  <c:v>#N/A</c:v>
                </c:pt>
                <c:pt idx="700">
                  <c:v>859.04729896504011</c:v>
                </c:pt>
                <c:pt idx="701">
                  <c:v>#N/A</c:v>
                </c:pt>
                <c:pt idx="702">
                  <c:v>#N/A</c:v>
                </c:pt>
                <c:pt idx="703">
                  <c:v>#N/A</c:v>
                </c:pt>
                <c:pt idx="704">
                  <c:v>#N/A</c:v>
                </c:pt>
                <c:pt idx="705">
                  <c:v>#N/A</c:v>
                </c:pt>
                <c:pt idx="706">
                  <c:v>#N/A</c:v>
                </c:pt>
                <c:pt idx="707">
                  <c:v>#N/A</c:v>
                </c:pt>
                <c:pt idx="708">
                  <c:v>#N/A</c:v>
                </c:pt>
                <c:pt idx="709">
                  <c:v>#N/A</c:v>
                </c:pt>
                <c:pt idx="710">
                  <c:v>868.80720909861793</c:v>
                </c:pt>
                <c:pt idx="711">
                  <c:v>#N/A</c:v>
                </c:pt>
                <c:pt idx="712">
                  <c:v>#N/A</c:v>
                </c:pt>
                <c:pt idx="713">
                  <c:v>#N/A</c:v>
                </c:pt>
                <c:pt idx="714">
                  <c:v>#N/A</c:v>
                </c:pt>
                <c:pt idx="715">
                  <c:v>#N/A</c:v>
                </c:pt>
                <c:pt idx="716">
                  <c:v>#N/A</c:v>
                </c:pt>
                <c:pt idx="717">
                  <c:v>#N/A</c:v>
                </c:pt>
                <c:pt idx="718">
                  <c:v>#N/A</c:v>
                </c:pt>
                <c:pt idx="719">
                  <c:v>#N/A</c:v>
                </c:pt>
                <c:pt idx="720">
                  <c:v>877.84313612158689</c:v>
                </c:pt>
                <c:pt idx="721">
                  <c:v>#N/A</c:v>
                </c:pt>
                <c:pt idx="722">
                  <c:v>#N/A</c:v>
                </c:pt>
                <c:pt idx="723">
                  <c:v>#N/A</c:v>
                </c:pt>
                <c:pt idx="724">
                  <c:v>#N/A</c:v>
                </c:pt>
                <c:pt idx="725">
                  <c:v>#N/A</c:v>
                </c:pt>
                <c:pt idx="726">
                  <c:v>#N/A</c:v>
                </c:pt>
                <c:pt idx="727">
                  <c:v>#N/A</c:v>
                </c:pt>
                <c:pt idx="728">
                  <c:v>#N/A</c:v>
                </c:pt>
                <c:pt idx="729">
                  <c:v>#N/A</c:v>
                </c:pt>
                <c:pt idx="730">
                  <c:v>886.19286125654344</c:v>
                </c:pt>
                <c:pt idx="731">
                  <c:v>#N/A</c:v>
                </c:pt>
                <c:pt idx="732">
                  <c:v>#N/A</c:v>
                </c:pt>
                <c:pt idx="733">
                  <c:v>#N/A</c:v>
                </c:pt>
                <c:pt idx="734">
                  <c:v>#N/A</c:v>
                </c:pt>
                <c:pt idx="735">
                  <c:v>#N/A</c:v>
                </c:pt>
                <c:pt idx="736">
                  <c:v>#N/A</c:v>
                </c:pt>
                <c:pt idx="737">
                  <c:v>#N/A</c:v>
                </c:pt>
                <c:pt idx="738">
                  <c:v>#N/A</c:v>
                </c:pt>
                <c:pt idx="739">
                  <c:v>#N/A</c:v>
                </c:pt>
                <c:pt idx="740">
                  <c:v>893.89515456166237</c:v>
                </c:pt>
                <c:pt idx="741">
                  <c:v>#N/A</c:v>
                </c:pt>
                <c:pt idx="742">
                  <c:v>#N/A</c:v>
                </c:pt>
                <c:pt idx="743">
                  <c:v>#N/A</c:v>
                </c:pt>
                <c:pt idx="744">
                  <c:v>#N/A</c:v>
                </c:pt>
                <c:pt idx="745">
                  <c:v>#N/A</c:v>
                </c:pt>
                <c:pt idx="746">
                  <c:v>#N/A</c:v>
                </c:pt>
                <c:pt idx="747">
                  <c:v>#N/A</c:v>
                </c:pt>
                <c:pt idx="748">
                  <c:v>#N/A</c:v>
                </c:pt>
                <c:pt idx="749">
                  <c:v>#N/A</c:v>
                </c:pt>
                <c:pt idx="750">
                  <c:v>900.98904470055891</c:v>
                </c:pt>
                <c:pt idx="751">
                  <c:v>#N/A</c:v>
                </c:pt>
                <c:pt idx="752">
                  <c:v>#N/A</c:v>
                </c:pt>
                <c:pt idx="753">
                  <c:v>#N/A</c:v>
                </c:pt>
                <c:pt idx="754">
                  <c:v>#N/A</c:v>
                </c:pt>
                <c:pt idx="755">
                  <c:v>#N/A</c:v>
                </c:pt>
                <c:pt idx="756">
                  <c:v>#N/A</c:v>
                </c:pt>
                <c:pt idx="757">
                  <c:v>#N/A</c:v>
                </c:pt>
                <c:pt idx="758">
                  <c:v>#N/A</c:v>
                </c:pt>
                <c:pt idx="759">
                  <c:v>#N/A</c:v>
                </c:pt>
                <c:pt idx="760">
                  <c:v>907.51322885494233</c:v>
                </c:pt>
                <c:pt idx="761">
                  <c:v>#N/A</c:v>
                </c:pt>
                <c:pt idx="762">
                  <c:v>#N/A</c:v>
                </c:pt>
                <c:pt idx="763">
                  <c:v>#N/A</c:v>
                </c:pt>
                <c:pt idx="764">
                  <c:v>#N/A</c:v>
                </c:pt>
                <c:pt idx="765">
                  <c:v>#N/A</c:v>
                </c:pt>
                <c:pt idx="766">
                  <c:v>#N/A</c:v>
                </c:pt>
                <c:pt idx="767">
                  <c:v>#N/A</c:v>
                </c:pt>
                <c:pt idx="768">
                  <c:v>#N/A</c:v>
                </c:pt>
                <c:pt idx="769">
                  <c:v>#N/A</c:v>
                </c:pt>
                <c:pt idx="770">
                  <c:v>913.50560826681226</c:v>
                </c:pt>
                <c:pt idx="771">
                  <c:v>#N/A</c:v>
                </c:pt>
                <c:pt idx="772">
                  <c:v>#N/A</c:v>
                </c:pt>
                <c:pt idx="773">
                  <c:v>#N/A</c:v>
                </c:pt>
                <c:pt idx="774">
                  <c:v>#N/A</c:v>
                </c:pt>
                <c:pt idx="775">
                  <c:v>#N/A</c:v>
                </c:pt>
                <c:pt idx="776">
                  <c:v>#N/A</c:v>
                </c:pt>
                <c:pt idx="777">
                  <c:v>#N/A</c:v>
                </c:pt>
                <c:pt idx="778">
                  <c:v>#N/A</c:v>
                </c:pt>
                <c:pt idx="779">
                  <c:v>#N/A</c:v>
                </c:pt>
                <c:pt idx="780">
                  <c:v>919.00293353580514</c:v>
                </c:pt>
                <c:pt idx="781">
                  <c:v>#N/A</c:v>
                </c:pt>
                <c:pt idx="782">
                  <c:v>#N/A</c:v>
                </c:pt>
                <c:pt idx="783">
                  <c:v>#N/A</c:v>
                </c:pt>
                <c:pt idx="784">
                  <c:v>#N/A</c:v>
                </c:pt>
                <c:pt idx="785">
                  <c:v>#N/A</c:v>
                </c:pt>
                <c:pt idx="786">
                  <c:v>#N/A</c:v>
                </c:pt>
                <c:pt idx="787">
                  <c:v>#N/A</c:v>
                </c:pt>
                <c:pt idx="788">
                  <c:v>#N/A</c:v>
                </c:pt>
                <c:pt idx="789">
                  <c:v>#N/A</c:v>
                </c:pt>
                <c:pt idx="790">
                  <c:v>924.04054371266432</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0</c:v>
                </c:pt>
                <c:pt idx="1">
                  <c:v>0.98473700747290427</c:v>
                </c:pt>
                <c:pt idx="2">
                  <c:v>1.9707925741889669</c:v>
                </c:pt>
                <c:pt idx="3">
                  <c:v>2.9610860184747216</c:v>
                </c:pt>
                <c:pt idx="4">
                  <c:v>3.9585357304745465</c:v>
                </c:pt>
                <c:pt idx="5">
                  <c:v>4.9660456277968521</c:v>
                </c:pt>
                <c:pt idx="6">
                  <c:v>5.9857801416581502</c:v>
                </c:pt>
                <c:pt idx="7">
                  <c:v>7.0184377263080782</c:v>
                </c:pt>
                <c:pt idx="8">
                  <c:v>8.0639758970996578</c:v>
                </c:pt>
                <c:pt idx="9">
                  <c:v>9.1223519271825548</c:v>
                </c:pt>
                <c:pt idx="10">
                  <c:v>10.193522849710263</c:v>
                </c:pt>
                <c:pt idx="11">
                  <c:v>11.277445460068151</c:v>
                </c:pt>
                <c:pt idx="12">
                  <c:v>12.374076318121705</c:v>
                </c:pt>
                <c:pt idx="13">
                  <c:v>13.483371750484361</c:v>
                </c:pt>
                <c:pt idx="14">
                  <c:v>14.605287852804278</c:v>
                </c:pt>
                <c:pt idx="15">
                  <c:v>15.739780492069482</c:v>
                </c:pt>
                <c:pt idx="16">
                  <c:v>16.886805308930761</c:v>
                </c:pt>
                <c:pt idx="17">
                  <c:v>18.046317720041731</c:v>
                </c:pt>
                <c:pt idx="18">
                  <c:v>19.218272920415501</c:v>
                </c:pt>
                <c:pt idx="19">
                  <c:v>20.402625885797381</c:v>
                </c:pt>
                <c:pt idx="20">
                  <c:v>21.599331375053055</c:v>
                </c:pt>
                <c:pt idx="21">
                  <c:v>22.808343932571688</c:v>
                </c:pt>
                <c:pt idx="22">
                  <c:v>24.029617890683419</c:v>
                </c:pt>
                <c:pt idx="23">
                  <c:v>25.263107372090694</c:v>
                </c:pt>
                <c:pt idx="24">
                  <c:v>26.508766292312938</c:v>
                </c:pt>
                <c:pt idx="25">
                  <c:v>27.766548362144015</c:v>
                </c:pt>
                <c:pt idx="26">
                  <c:v>29.036407090121966</c:v>
                </c:pt>
                <c:pt idx="27">
                  <c:v>30.318295785010548</c:v>
                </c:pt>
                <c:pt idx="28">
                  <c:v>31.612167558292008</c:v>
                </c:pt>
                <c:pt idx="29">
                  <c:v>32.917975326670643</c:v>
                </c:pt>
                <c:pt idx="30">
                  <c:v>34.235671814586652</c:v>
                </c:pt>
                <c:pt idx="31">
                  <c:v>35.565209556739731</c:v>
                </c:pt>
                <c:pt idx="32">
                  <c:v>36.906540900621998</c:v>
                </c:pt>
                <c:pt idx="33">
                  <c:v>38.259618009059736</c:v>
                </c:pt>
                <c:pt idx="34">
                  <c:v>39.624392862763472</c:v>
                </c:pt>
                <c:pt idx="35">
                  <c:v>41.000817262885903</c:v>
                </c:pt>
                <c:pt idx="36">
                  <c:v>42.388842833587283</c:v>
                </c:pt>
                <c:pt idx="37">
                  <c:v>43.788421024607679</c:v>
                </c:pt>
                <c:pt idx="38">
                  <c:v>45.199503113845751</c:v>
                </c:pt>
                <c:pt idx="39">
                  <c:v>46.622040209943556</c:v>
                </c:pt>
                <c:pt idx="40">
                  <c:v>48.055983254876885</c:v>
                </c:pt>
                <c:pt idx="41">
                  <c:v>49.501283026550759</c:v>
                </c:pt>
                <c:pt idx="42">
                  <c:v>50.957890141399595</c:v>
                </c:pt>
                <c:pt idx="43">
                  <c:v>52.425755056991591</c:v>
                </c:pt>
                <c:pt idx="44">
                  <c:v>53.904828074636939</c:v>
                </c:pt>
                <c:pt idx="45">
                  <c:v>55.395059341999392</c:v>
                </c:pt>
                <c:pt idx="46">
                  <c:v>56.896398855710757</c:v>
                </c:pt>
                <c:pt idx="47">
                  <c:v>58.408796463987933</c:v>
                </c:pt>
                <c:pt idx="48">
                  <c:v>59.932201869252012</c:v>
                </c:pt>
                <c:pt idx="49">
                  <c:v>61.466564630749055</c:v>
                </c:pt>
                <c:pt idx="50">
                  <c:v>63.011834167172154</c:v>
                </c:pt>
                <c:pt idx="51">
                  <c:v>64.567963696245272</c:v>
                </c:pt>
                <c:pt idx="52">
                  <c:v>66.13491417602863</c:v>
                </c:pt>
                <c:pt idx="53">
                  <c:v>67.712650368503375</c:v>
                </c:pt>
                <c:pt idx="54">
                  <c:v>69.301136901011404</c:v>
                </c:pt>
                <c:pt idx="55">
                  <c:v>70.900338268033593</c:v>
                </c:pt>
                <c:pt idx="56">
                  <c:v>72.510218832972328</c:v>
                </c:pt>
                <c:pt idx="57">
                  <c:v>74.130742829938129</c:v>
                </c:pt>
                <c:pt idx="58">
                  <c:v>75.761874365540137</c:v>
                </c:pt>
                <c:pt idx="59">
                  <c:v>77.403577420680165</c:v>
                </c:pt>
                <c:pt idx="60">
                  <c:v>79.055815852350065</c:v>
                </c:pt>
                <c:pt idx="61">
                  <c:v>80.718553395432181</c:v>
                </c:pt>
                <c:pt idx="62">
                  <c:v>82.391753664502673</c:v>
                </c:pt>
                <c:pt idx="63">
                  <c:v>84.075380155637333</c:v>
                </c:pt>
                <c:pt idx="64">
                  <c:v>85.769396248219863</c:v>
                </c:pt>
                <c:pt idx="65">
                  <c:v>87.473765206752091</c:v>
                </c:pt>
                <c:pt idx="66">
                  <c:v>89.188450182666188</c:v>
                </c:pt>
                <c:pt idx="67">
                  <c:v>90.913414216138392</c:v>
                </c:pt>
                <c:pt idx="68">
                  <c:v>92.64862023790414</c:v>
                </c:pt>
                <c:pt idx="69">
                  <c:v>94.394031071074309</c:v>
                </c:pt>
                <c:pt idx="70">
                  <c:v>96.14960943295236</c:v>
                </c:pt>
                <c:pt idx="71">
                  <c:v>97.915317936852134</c:v>
                </c:pt>
                <c:pt idx="72">
                  <c:v>99.691119093916086</c:v>
                </c:pt>
                <c:pt idx="73">
                  <c:v>101.47697531493367</c:v>
                </c:pt>
                <c:pt idx="74">
                  <c:v>103.27284891215973</c:v>
                </c:pt>
                <c:pt idx="75">
                  <c:v>105.07870210113261</c:v>
                </c:pt>
                <c:pt idx="76">
                  <c:v>106.8944970024917</c:v>
                </c:pt>
                <c:pt idx="77">
                  <c:v>108.72019564379444</c:v>
                </c:pt>
                <c:pt idx="78">
                  <c:v>110.55575996133214</c:v>
                </c:pt>
                <c:pt idx="79">
                  <c:v>112.40115180194485</c:v>
                </c:pt>
                <c:pt idx="80">
                  <c:v>114.25633292483468</c:v>
                </c:pt>
                <c:pt idx="81">
                  <c:v>116.12126500337764</c:v>
                </c:pt>
                <c:pt idx="82">
                  <c:v>117.99590962693364</c:v>
                </c:pt>
                <c:pt idx="83">
                  <c:v>119.88022830265433</c:v>
                </c:pt>
                <c:pt idx="84">
                  <c:v>121.77418245728894</c:v>
                </c:pt>
                <c:pt idx="85">
                  <c:v>123.67773343898742</c:v>
                </c:pt>
                <c:pt idx="86">
                  <c:v>125.59084251910106</c:v>
                </c:pt>
                <c:pt idx="87">
                  <c:v>127.51347089398026</c:v>
                </c:pt>
                <c:pt idx="88">
                  <c:v>129.44557968676909</c:v>
                </c:pt>
                <c:pt idx="89">
                  <c:v>131.38712994919675</c:v>
                </c:pt>
                <c:pt idx="90">
                  <c:v>133.33808266336544</c:v>
                </c:pt>
                <c:pt idx="91">
                  <c:v>135.29839874353465</c:v>
                </c:pt>
                <c:pt idx="92">
                  <c:v>137.26803903790145</c:v>
                </c:pt>
                <c:pt idx="93">
                  <c:v>139.24696433037687</c:v>
                </c:pt>
                <c:pt idx="94">
                  <c:v>141.23513534235798</c:v>
                </c:pt>
                <c:pt idx="95">
                  <c:v>143.23251273449554</c:v>
                </c:pt>
                <c:pt idx="96">
                  <c:v>145.23905710845696</c:v>
                </c:pt>
                <c:pt idx="97">
                  <c:v>147.25472900868456</c:v>
                </c:pt>
                <c:pt idx="98">
                  <c:v>149.27948892414881</c:v>
                </c:pt>
                <c:pt idx="99">
                  <c:v>151.3132972900963</c:v>
                </c:pt>
                <c:pt idx="100">
                  <c:v>153.35611448979256</c:v>
                </c:pt>
                <c:pt idx="101">
                  <c:v>155.40789902147051</c:v>
                </c:pt>
                <c:pt idx="102">
                  <c:v>157.46860566617082</c:v>
                </c:pt>
                <c:pt idx="103">
                  <c:v>159.53818732851278</c:v>
                </c:pt>
                <c:pt idx="104">
                  <c:v>161.61659687672525</c:v>
                </c:pt>
                <c:pt idx="105">
                  <c:v>163.70378714468549</c:v>
                </c:pt>
                <c:pt idx="106">
                  <c:v>165.79971093394778</c:v>
                </c:pt>
                <c:pt idx="107">
                  <c:v>167.90432101576221</c:v>
                </c:pt>
                <c:pt idx="108">
                  <c:v>170.01757013308296</c:v>
                </c:pt>
                <c:pt idx="109">
                  <c:v>172.13941100256613</c:v>
                </c:pt>
                <c:pt idx="110">
                  <c:v>174.26979631655689</c:v>
                </c:pt>
                <c:pt idx="111">
                  <c:v>176.4086787450658</c:v>
                </c:pt>
                <c:pt idx="112">
                  <c:v>178.55601093773407</c:v>
                </c:pt>
                <c:pt idx="113">
                  <c:v>180.71174552578765</c:v>
                </c:pt>
                <c:pt idx="114">
                  <c:v>182.87583512397993</c:v>
                </c:pt>
                <c:pt idx="115">
                  <c:v>185.04823233252293</c:v>
                </c:pt>
                <c:pt idx="116">
                  <c:v>187.22888973900692</c:v>
                </c:pt>
                <c:pt idx="117">
                  <c:v>189.41775992030801</c:v>
                </c:pt>
                <c:pt idx="118">
                  <c:v>191.61479544448395</c:v>
                </c:pt>
                <c:pt idx="119">
                  <c:v>193.81994887265762</c:v>
                </c:pt>
                <c:pt idx="120">
                  <c:v>196.03317276088848</c:v>
                </c:pt>
                <c:pt idx="121">
                  <c:v>198.25441966203144</c:v>
                </c:pt>
                <c:pt idx="122">
                  <c:v>200.48364212758315</c:v>
                </c:pt>
                <c:pt idx="123">
                  <c:v>202.72079270951585</c:v>
                </c:pt>
                <c:pt idx="124">
                  <c:v>204.96582396209809</c:v>
                </c:pt>
                <c:pt idx="125">
                  <c:v>207.2186884437028</c:v>
                </c:pt>
                <c:pt idx="126">
                  <c:v>209.47933871860215</c:v>
                </c:pt>
                <c:pt idx="127">
                  <c:v>211.7477273587493</c:v>
                </c:pt>
                <c:pt idx="128">
                  <c:v>214.0238069455468</c:v>
                </c:pt>
                <c:pt idx="129">
                  <c:v>216.30753007160166</c:v>
                </c:pt>
                <c:pt idx="130">
                  <c:v>218.59884934246691</c:v>
                </c:pt>
                <c:pt idx="131">
                  <c:v>220.89771737836946</c:v>
                </c:pt>
                <c:pt idx="132">
                  <c:v>223.20408681592434</c:v>
                </c:pt>
                <c:pt idx="133">
                  <c:v>225.51791030983512</c:v>
                </c:pt>
                <c:pt idx="134">
                  <c:v>227.83914053458034</c:v>
                </c:pt>
                <c:pt idx="135">
                  <c:v>230.16773018608603</c:v>
                </c:pt>
                <c:pt idx="136">
                  <c:v>232.50363198338414</c:v>
                </c:pt>
                <c:pt idx="137">
                  <c:v>234.84679867025673</c:v>
                </c:pt>
                <c:pt idx="138">
                  <c:v>237.19718301686595</c:v>
                </c:pt>
                <c:pt idx="139">
                  <c:v>239.55473782136974</c:v>
                </c:pt>
                <c:pt idx="140">
                  <c:v>241.91941591152303</c:v>
                </c:pt>
                <c:pt idx="141">
                  <c:v>244.29117014626451</c:v>
                </c:pt>
                <c:pt idx="142">
                  <c:v>246.66995341728881</c:v>
                </c:pt>
                <c:pt idx="143">
                  <c:v>249.05571865060426</c:v>
                </c:pt>
                <c:pt idx="144">
                  <c:v>251.44841880807564</c:v>
                </c:pt>
                <c:pt idx="145">
                  <c:v>253.84800688895251</c:v>
                </c:pt>
                <c:pt idx="146">
                  <c:v>256.2544359313826</c:v>
                </c:pt>
                <c:pt idx="147">
                  <c:v>258.66765901391034</c:v>
                </c:pt>
                <c:pt idx="148">
                  <c:v>261.08762925696061</c:v>
                </c:pt>
                <c:pt idx="149">
                  <c:v>263.5142998243075</c:v>
                </c:pt>
                <c:pt idx="150">
                  <c:v>265.94762392452799</c:v>
                </c:pt>
                <c:pt idx="151">
                  <c:v>268.38755544311249</c:v>
                </c:pt>
                <c:pt idx="152">
                  <c:v>270.83404957368759</c:v>
                </c:pt>
                <c:pt idx="153">
                  <c:v>273.28706218623444</c:v>
                </c:pt>
                <c:pt idx="154">
                  <c:v>275.74654919612357</c:v>
                </c:pt>
                <c:pt idx="155">
                  <c:v>278.21246656541138</c:v>
                </c:pt>
                <c:pt idx="156">
                  <c:v>280.68477030412311</c:v>
                </c:pt>
                <c:pt idx="157">
                  <c:v>283.16341647152194</c:v>
                </c:pt>
                <c:pt idx="158">
                  <c:v>285.64836117736445</c:v>
                </c:pt>
                <c:pt idx="159">
                  <c:v>288.13956058314193</c:v>
                </c:pt>
                <c:pt idx="160">
                  <c:v>290.6369709033084</c:v>
                </c:pt>
                <c:pt idx="161">
                  <c:v>293.14054840649425</c:v>
                </c:pt>
                <c:pt idx="162">
                  <c:v>295.65024941670663</c:v>
                </c:pt>
                <c:pt idx="163">
                  <c:v>298.16603031451535</c:v>
                </c:pt>
                <c:pt idx="164">
                  <c:v>300.68784753822553</c:v>
                </c:pt>
                <c:pt idx="165">
                  <c:v>303.21565758503584</c:v>
                </c:pt>
                <c:pt idx="166">
                  <c:v>305.74941701218341</c:v>
                </c:pt>
                <c:pt idx="167">
                  <c:v>308.28908243807433</c:v>
                </c:pt>
                <c:pt idx="168">
                  <c:v>310.83461054340074</c:v>
                </c:pt>
                <c:pt idx="169">
                  <c:v>313.38595807224374</c:v>
                </c:pt>
                <c:pt idx="170">
                  <c:v>315.94308183316269</c:v>
                </c:pt>
                <c:pt idx="171">
                  <c:v>318.50593870027041</c:v>
                </c:pt>
                <c:pt idx="172">
                  <c:v>321.07448561429476</c:v>
                </c:pt>
                <c:pt idx="173">
                  <c:v>323.64867958362618</c:v>
                </c:pt>
                <c:pt idx="174">
                  <c:v>326.22847768535166</c:v>
                </c:pt>
                <c:pt idx="175">
                  <c:v>328.81383706627469</c:v>
                </c:pt>
                <c:pt idx="176">
                  <c:v>331.40471494392153</c:v>
                </c:pt>
                <c:pt idx="177">
                  <c:v>334.00106860753368</c:v>
                </c:pt>
                <c:pt idx="178">
                  <c:v>336.6028554190467</c:v>
                </c:pt>
                <c:pt idx="179">
                  <c:v>339.21003281405518</c:v>
                </c:pt>
                <c:pt idx="180">
                  <c:v>341.82255830276409</c:v>
                </c:pt>
                <c:pt idx="181">
                  <c:v>344.4403894709265</c:v>
                </c:pt>
                <c:pt idx="182">
                  <c:v>347.06348398076761</c:v>
                </c:pt>
                <c:pt idx="183">
                  <c:v>349.6917995718951</c:v>
                </c:pt>
                <c:pt idx="184">
                  <c:v>352.32529406219612</c:v>
                </c:pt>
                <c:pt idx="185">
                  <c:v>354.96392534872047</c:v>
                </c:pt>
                <c:pt idx="186">
                  <c:v>357.60765140855068</c:v>
                </c:pt>
                <c:pt idx="187">
                  <c:v>360.25643029965806</c:v>
                </c:pt>
                <c:pt idx="188">
                  <c:v>362.91022016174588</c:v>
                </c:pt>
                <c:pt idx="189">
                  <c:v>365.56897921707883</c:v>
                </c:pt>
                <c:pt idx="190">
                  <c:v>368.2326657712992</c:v>
                </c:pt>
                <c:pt idx="191">
                  <c:v>370.90123821422986</c:v>
                </c:pt>
                <c:pt idx="192">
                  <c:v>373.57465502066395</c:v>
                </c:pt>
                <c:pt idx="193">
                  <c:v>376.25287475114129</c:v>
                </c:pt>
                <c:pt idx="194">
                  <c:v>378.93585605271164</c:v>
                </c:pt>
                <c:pt idx="195">
                  <c:v>381.62355765968505</c:v>
                </c:pt>
                <c:pt idx="196">
                  <c:v>384.31593839436891</c:v>
                </c:pt>
                <c:pt idx="197">
                  <c:v>387.01295716779208</c:v>
                </c:pt>
                <c:pt idx="198">
                  <c:v>389.71457298041616</c:v>
                </c:pt>
                <c:pt idx="199">
                  <c:v>392.42074492283371</c:v>
                </c:pt>
                <c:pt idx="200">
                  <c:v>395.13143217645376</c:v>
                </c:pt>
                <c:pt idx="201">
                  <c:v>397.84659401417463</c:v>
                </c:pt>
                <c:pt idx="202">
                  <c:v>400.56618980104372</c:v>
                </c:pt>
                <c:pt idx="203">
                  <c:v>403.29017899490486</c:v>
                </c:pt>
                <c:pt idx="204">
                  <c:v>406.0185211470332</c:v>
                </c:pt>
                <c:pt idx="205">
                  <c:v>408.7511759027571</c:v>
                </c:pt>
                <c:pt idx="206">
                  <c:v>411.48810300206821</c:v>
                </c:pt>
                <c:pt idx="207">
                  <c:v>414.22926228021845</c:v>
                </c:pt>
                <c:pt idx="208">
                  <c:v>416.97461366830515</c:v>
                </c:pt>
                <c:pt idx="209">
                  <c:v>419.72411719384377</c:v>
                </c:pt>
                <c:pt idx="210">
                  <c:v>422.4777329813283</c:v>
                </c:pt>
                <c:pt idx="211">
                  <c:v>425.2354212527797</c:v>
                </c:pt>
                <c:pt idx="212">
                  <c:v>427.99714232828211</c:v>
                </c:pt>
                <c:pt idx="213">
                  <c:v>430.76285662650719</c:v>
                </c:pt>
                <c:pt idx="214">
                  <c:v>433.53252466522645</c:v>
                </c:pt>
                <c:pt idx="215">
                  <c:v>436.30610706181182</c:v>
                </c:pt>
                <c:pt idx="216">
                  <c:v>439.08356453372431</c:v>
                </c:pt>
                <c:pt idx="217">
                  <c:v>441.8648578989912</c:v>
                </c:pt>
                <c:pt idx="218">
                  <c:v>444.64994807667131</c:v>
                </c:pt>
                <c:pt idx="219">
                  <c:v>447.43879608730873</c:v>
                </c:pt>
                <c:pt idx="220">
                  <c:v>450.2313630533755</c:v>
                </c:pt>
                <c:pt idx="221">
                  <c:v>453.02761019970228</c:v>
                </c:pt>
                <c:pt idx="222">
                  <c:v>455.82749885389813</c:v>
                </c:pt>
                <c:pt idx="223">
                  <c:v>458.63099044675897</c:v>
                </c:pt>
                <c:pt idx="224">
                  <c:v>461.43804651266464</c:v>
                </c:pt>
                <c:pt idx="225">
                  <c:v>464.24862868996513</c:v>
                </c:pt>
                <c:pt idx="226">
                  <c:v>467.06269872135573</c:v>
                </c:pt>
                <c:pt idx="227">
                  <c:v>469.88021845424123</c:v>
                </c:pt>
                <c:pt idx="228">
                  <c:v>472.70114984108926</c:v>
                </c:pt>
                <c:pt idx="229">
                  <c:v>475.52545493977289</c:v>
                </c:pt>
                <c:pt idx="230">
                  <c:v>478.35309591390251</c:v>
                </c:pt>
                <c:pt idx="231">
                  <c:v>481.18403503314727</c:v>
                </c:pt>
                <c:pt idx="232">
                  <c:v>484.01823467354569</c:v>
                </c:pt>
                <c:pt idx="233">
                  <c:v>486.85565731780628</c:v>
                </c:pt>
                <c:pt idx="234">
                  <c:v>489.69626555559734</c:v>
                </c:pt>
                <c:pt idx="235">
                  <c:v>492.54002208382673</c:v>
                </c:pt>
                <c:pt idx="236">
                  <c:v>495.38688970691163</c:v>
                </c:pt>
                <c:pt idx="237">
                  <c:v>498.23683133703787</c:v>
                </c:pt>
                <c:pt idx="238">
                  <c:v>501.08980999440939</c:v>
                </c:pt>
                <c:pt idx="239">
                  <c:v>503.94578880748787</c:v>
                </c:pt>
                <c:pt idx="240">
                  <c:v>506.80473101322235</c:v>
                </c:pt>
                <c:pt idx="241">
                  <c:v>509.66659995726928</c:v>
                </c:pt>
                <c:pt idx="242">
                  <c:v>512.5313590942028</c:v>
                </c:pt>
                <c:pt idx="243">
                  <c:v>515.3989719877153</c:v>
                </c:pt>
                <c:pt idx="244">
                  <c:v>518.26940231080891</c:v>
                </c:pt>
                <c:pt idx="245">
                  <c:v>521.14261384597705</c:v>
                </c:pt>
                <c:pt idx="246">
                  <c:v>524.01857048537704</c:v>
                </c:pt>
                <c:pt idx="247">
                  <c:v>526.89723623099349</c:v>
                </c:pt>
                <c:pt idx="248">
                  <c:v>529.7785751947921</c:v>
                </c:pt>
                <c:pt idx="249">
                  <c:v>532.66255159886509</c:v>
                </c:pt>
                <c:pt idx="250">
                  <c:v>535.54912977556694</c:v>
                </c:pt>
                <c:pt idx="251">
                  <c:v>538.43827139841926</c:v>
                </c:pt>
                <c:pt idx="252">
                  <c:v>541.3299327204312</c:v>
                </c:pt>
                <c:pt idx="253">
                  <c:v>544.22406736100527</c:v>
                </c:pt>
                <c:pt idx="254">
                  <c:v>547.12062908546022</c:v>
                </c:pt>
                <c:pt idx="255">
                  <c:v>550.01957180521993</c:v>
                </c:pt>
                <c:pt idx="256">
                  <c:v>552.92084957798886</c:v>
                </c:pt>
                <c:pt idx="257">
                  <c:v>555.82441660791301</c:v>
                </c:pt>
                <c:pt idx="258">
                  <c:v>558.73022724572775</c:v>
                </c:pt>
                <c:pt idx="259">
                  <c:v>561.63823598889178</c:v>
                </c:pt>
                <c:pt idx="260">
                  <c:v>564.54839748170787</c:v>
                </c:pt>
                <c:pt idx="261">
                  <c:v>567.46066651543026</c:v>
                </c:pt>
                <c:pt idx="262">
                  <c:v>570.37499802835907</c:v>
                </c:pt>
                <c:pt idx="263">
                  <c:v>573.29134710592143</c:v>
                </c:pt>
                <c:pt idx="264">
                  <c:v>576.20966898074039</c:v>
                </c:pt>
                <c:pt idx="265">
                  <c:v>579.12991903269051</c:v>
                </c:pt>
                <c:pt idx="266">
                  <c:v>582.0520527889413</c:v>
                </c:pt>
                <c:pt idx="267">
                  <c:v>584.97602592398846</c:v>
                </c:pt>
                <c:pt idx="268">
                  <c:v>587.90179425967244</c:v>
                </c:pt>
                <c:pt idx="269">
                  <c:v>590.82931376518513</c:v>
                </c:pt>
                <c:pt idx="270">
                  <c:v>593.75854055706498</c:v>
                </c:pt>
                <c:pt idx="271">
                  <c:v>596.68943089917968</c:v>
                </c:pt>
                <c:pt idx="272">
                  <c:v>599.62194120269771</c:v>
                </c:pt>
                <c:pt idx="273">
                  <c:v>602.55602802604824</c:v>
                </c:pt>
                <c:pt idx="274">
                  <c:v>605.49164807486932</c:v>
                </c:pt>
                <c:pt idx="275">
                  <c:v>608.4287582019457</c:v>
                </c:pt>
                <c:pt idx="276">
                  <c:v>611.36731540713481</c:v>
                </c:pt>
                <c:pt idx="277">
                  <c:v>614.30727683728219</c:v>
                </c:pt>
                <c:pt idx="278">
                  <c:v>617.24859978612585</c:v>
                </c:pt>
                <c:pt idx="279">
                  <c:v>620.19124169419069</c:v>
                </c:pt>
                <c:pt idx="280">
                  <c:v>623.13516014867139</c:v>
                </c:pt>
                <c:pt idx="281">
                  <c:v>626.08031288330585</c:v>
                </c:pt>
                <c:pt idx="282">
                  <c:v>629.0266577782379</c:v>
                </c:pt>
                <c:pt idx="283">
                  <c:v>631.97415285987029</c:v>
                </c:pt>
                <c:pt idx="284">
                  <c:v>634.92275630070731</c:v>
                </c:pt>
                <c:pt idx="285">
                  <c:v>637.87242641918806</c:v>
                </c:pt>
                <c:pt idx="286">
                  <c:v>640.82312167950988</c:v>
                </c:pt>
                <c:pt idx="287">
                  <c:v>643.77480069144224</c:v>
                </c:pt>
                <c:pt idx="288">
                  <c:v>646.72742221013118</c:v>
                </c:pt>
                <c:pt idx="289">
                  <c:v>649.68094513589472</c:v>
                </c:pt>
                <c:pt idx="290">
                  <c:v>652.63532851400896</c:v>
                </c:pt>
                <c:pt idx="291">
                  <c:v>655.59053153448519</c:v>
                </c:pt>
                <c:pt idx="292">
                  <c:v>658.54651353183851</c:v>
                </c:pt>
                <c:pt idx="293">
                  <c:v>661.50323398484727</c:v>
                </c:pt>
                <c:pt idx="294">
                  <c:v>664.46065251630421</c:v>
                </c:pt>
                <c:pt idx="295">
                  <c:v>667.41872889275896</c:v>
                </c:pt>
                <c:pt idx="296">
                  <c:v>670.37742302425261</c:v>
                </c:pt>
                <c:pt idx="297">
                  <c:v>673.33669496404377</c:v>
                </c:pt>
                <c:pt idx="298">
                  <c:v>676.29647430934915</c:v>
                </c:pt>
                <c:pt idx="299">
                  <c:v>679.25662970024234</c:v>
                </c:pt>
                <c:pt idx="300">
                  <c:v>682.21699963949482</c:v>
                </c:pt>
                <c:pt idx="301">
                  <c:v>685.17742321519722</c:v>
                </c:pt>
                <c:pt idx="302">
                  <c:v>688.13774010228497</c:v>
                </c:pt>
                <c:pt idx="303">
                  <c:v>691.09779056391767</c:v>
                </c:pt>
                <c:pt idx="304">
                  <c:v>694.0574154527128</c:v>
                </c:pt>
                <c:pt idx="305">
                  <c:v>697.01645621183729</c:v>
                </c:pt>
                <c:pt idx="306">
                  <c:v>699.97475487595773</c:v>
                </c:pt>
                <c:pt idx="307">
                  <c:v>702.9321540720515</c:v>
                </c:pt>
                <c:pt idx="308">
                  <c:v>705.8884970200819</c:v>
                </c:pt>
                <c:pt idx="309">
                  <c:v>708.84362753353707</c:v>
                </c:pt>
                <c:pt idx="310">
                  <c:v>711.79739001983717</c:v>
                </c:pt>
                <c:pt idx="311">
                  <c:v>714.74962948060943</c:v>
                </c:pt>
                <c:pt idx="312">
                  <c:v>717.70019151183567</c:v>
                </c:pt>
                <c:pt idx="313">
                  <c:v>720.64892230387136</c:v>
                </c:pt>
                <c:pt idx="314">
                  <c:v>723.59566864134092</c:v>
                </c:pt>
                <c:pt idx="315">
                  <c:v>726.54027790290945</c:v>
                </c:pt>
                <c:pt idx="316">
                  <c:v>729.48259806093381</c:v>
                </c:pt>
                <c:pt idx="317">
                  <c:v>732.42247768099435</c:v>
                </c:pt>
                <c:pt idx="318">
                  <c:v>735.35976592130987</c:v>
                </c:pt>
                <c:pt idx="319">
                  <c:v>738.29431253203791</c:v>
                </c:pt>
                <c:pt idx="320">
                  <c:v>741.22596785446115</c:v>
                </c:pt>
                <c:pt idx="321">
                  <c:v>744.15459501406895</c:v>
                </c:pt>
                <c:pt idx="322">
                  <c:v>747.08008206564102</c:v>
                </c:pt>
                <c:pt idx="323">
                  <c:v>750.00232969730439</c:v>
                </c:pt>
                <c:pt idx="324">
                  <c:v>752.92123898225566</c:v>
                </c:pt>
                <c:pt idx="325">
                  <c:v>755.83671137720887</c:v>
                </c:pt>
                <c:pt idx="326">
                  <c:v>758.74864872080457</c:v>
                </c:pt>
                <c:pt idx="327">
                  <c:v>761.65695323198054</c:v>
                </c:pt>
                <c:pt idx="328">
                  <c:v>764.56152750830597</c:v>
                </c:pt>
                <c:pt idx="329">
                  <c:v>767.46227452427888</c:v>
                </c:pt>
                <c:pt idx="330">
                  <c:v>770.35909762958784</c:v>
                </c:pt>
                <c:pt idx="331">
                  <c:v>773.25190054733946</c:v>
                </c:pt>
                <c:pt idx="332">
                  <c:v>776.14058737225184</c:v>
                </c:pt>
                <c:pt idx="333">
                  <c:v>779.02506256881418</c:v>
                </c:pt>
                <c:pt idx="334">
                  <c:v>781.90523096941467</c:v>
                </c:pt>
                <c:pt idx="335">
                  <c:v>784.78099777243631</c:v>
                </c:pt>
                <c:pt idx="336">
                  <c:v>787.65226854032164</c:v>
                </c:pt>
                <c:pt idx="337">
                  <c:v>790.51894919760764</c:v>
                </c:pt>
                <c:pt idx="338">
                  <c:v>793.38094602893091</c:v>
                </c:pt>
                <c:pt idx="339">
                  <c:v>796.23816567700374</c:v>
                </c:pt>
                <c:pt idx="340">
                  <c:v>799.09051514056284</c:v>
                </c:pt>
                <c:pt idx="341">
                  <c:v>801.93790177228971</c:v>
                </c:pt>
                <c:pt idx="342">
                  <c:v>804.78023327670508</c:v>
                </c:pt>
                <c:pt idx="343">
                  <c:v>807.6174177080369</c:v>
                </c:pt>
                <c:pt idx="344">
                  <c:v>810.4493634680631</c:v>
                </c:pt>
                <c:pt idx="345">
                  <c:v>813.2759793039296</c:v>
                </c:pt>
                <c:pt idx="346">
                  <c:v>816.09717430594401</c:v>
                </c:pt>
                <c:pt idx="347">
                  <c:v>818.91285790534641</c:v>
                </c:pt>
                <c:pt idx="348">
                  <c:v>821.72294118822538</c:v>
                </c:pt>
                <c:pt idx="349">
                  <c:v>824.52733820371998</c:v>
                </c:pt>
                <c:pt idx="350">
                  <c:v>827.32596463408004</c:v>
                </c:pt>
                <c:pt idx="351">
                  <c:v>830.1187364704416</c:v>
                </c:pt>
                <c:pt idx="352">
                  <c:v>832.90557001058255</c:v>
                </c:pt>
                <c:pt idx="353">
                  <c:v>835.68638185666168</c:v>
                </c:pt>
                <c:pt idx="354">
                  <c:v>838.46108891294227</c:v>
                </c:pt>
                <c:pt idx="355">
                  <c:v>841.2296083835007</c:v>
                </c:pt>
                <c:pt idx="356">
                  <c:v>843.99185776992022</c:v>
                </c:pt>
                <c:pt idx="357">
                  <c:v>846.74775486897045</c:v>
                </c:pt>
                <c:pt idx="358">
                  <c:v>849.49721777027344</c:v>
                </c:pt>
                <c:pt idx="359">
                  <c:v>852.24016485395634</c:v>
                </c:pt>
                <c:pt idx="360">
                  <c:v>854.97654215868852</c:v>
                </c:pt>
                <c:pt idx="361">
                  <c:v>857.70635062848544</c:v>
                </c:pt>
                <c:pt idx="362">
                  <c:v>860.42961849976757</c:v>
                </c:pt>
                <c:pt idx="363">
                  <c:v>863.14637381175601</c:v>
                </c:pt>
                <c:pt idx="364">
                  <c:v>865.85664440831601</c:v>
                </c:pt>
                <c:pt idx="365">
                  <c:v>868.56045793977842</c:v>
                </c:pt>
                <c:pt idx="366">
                  <c:v>871.25784186474016</c:v>
                </c:pt>
                <c:pt idx="367">
                  <c:v>873.9488234518434</c:v>
                </c:pt>
                <c:pt idx="368">
                  <c:v>876.63342978153457</c:v>
                </c:pt>
                <c:pt idx="369">
                  <c:v>879.31168774780201</c:v>
                </c:pt>
                <c:pt idx="370">
                  <c:v>881.98362405989451</c:v>
                </c:pt>
                <c:pt idx="371">
                  <c:v>884.64926524401915</c:v>
                </c:pt>
                <c:pt idx="372">
                  <c:v>887.30863764501999</c:v>
                </c:pt>
                <c:pt idx="373">
                  <c:v>889.96176742803766</c:v>
                </c:pt>
                <c:pt idx="374">
                  <c:v>892.60868058014921</c:v>
                </c:pt>
                <c:pt idx="375">
                  <c:v>895.2494029119897</c:v>
                </c:pt>
                <c:pt idx="376">
                  <c:v>897.88396005935545</c:v>
                </c:pt>
                <c:pt idx="377">
                  <c:v>900.5123774847882</c:v>
                </c:pt>
                <c:pt idx="378">
                  <c:v>903.13468047914216</c:v>
                </c:pt>
                <c:pt idx="379">
                  <c:v>905.75089416313267</c:v>
                </c:pt>
                <c:pt idx="380">
                  <c:v>908.36104348886784</c:v>
                </c:pt>
                <c:pt idx="381">
                  <c:v>910.96515324136226</c:v>
                </c:pt>
                <c:pt idx="382">
                  <c:v>913.56324804003418</c:v>
                </c:pt>
                <c:pt idx="383">
                  <c:v>916.1553523401858</c:v>
                </c:pt>
                <c:pt idx="384">
                  <c:v>918.74149043446653</c:v>
                </c:pt>
                <c:pt idx="385">
                  <c:v>921.32168645432034</c:v>
                </c:pt>
                <c:pt idx="386">
                  <c:v>923.89596437141699</c:v>
                </c:pt>
                <c:pt idx="387">
                  <c:v>926.46434799906694</c:v>
                </c:pt>
                <c:pt idx="388">
                  <c:v>929.02686099362063</c:v>
                </c:pt>
                <c:pt idx="389">
                  <c:v>931.58352685585248</c:v>
                </c:pt>
                <c:pt idx="390">
                  <c:v>934.13436893232949</c:v>
                </c:pt>
                <c:pt idx="391">
                  <c:v>936.67941041676465</c:v>
                </c:pt>
                <c:pt idx="392">
                  <c:v>939.21867435135528</c:v>
                </c:pt>
                <c:pt idx="393">
                  <c:v>941.75218362810699</c:v>
                </c:pt>
                <c:pt idx="394">
                  <c:v>944.27996099014331</c:v>
                </c:pt>
                <c:pt idx="395">
                  <c:v>946.80202903300005</c:v>
                </c:pt>
                <c:pt idx="396">
                  <c:v>949.31841020590662</c:v>
                </c:pt>
                <c:pt idx="397">
                  <c:v>951.82912681305288</c:v>
                </c:pt>
                <c:pt idx="398">
                  <c:v>954.33420101484217</c:v>
                </c:pt>
                <c:pt idx="399">
                  <c:v>956.83365482913075</c:v>
                </c:pt>
                <c:pt idx="400">
                  <c:v>959.32751013245434</c:v>
                </c:pt>
                <c:pt idx="401">
                  <c:v>983.95982806633049</c:v>
                </c:pt>
                <c:pt idx="402">
                  <c:v>1008.0461850599833</c:v>
                </c:pt>
                <c:pt idx="403">
                  <c:v>1031.6071871818347</c:v>
                </c:pt>
                <c:pt idx="404">
                  <c:v>1054.6621739207383</c:v>
                </c:pt>
                <c:pt idx="405">
                  <c:v>1077.2293207328221</c:v>
                </c:pt>
                <c:pt idx="406">
                  <c:v>1099.3257313242746</c:v>
                </c:pt>
                <c:pt idx="407">
                  <c:v>1120.9675208855283</c:v>
                </c:pt>
                <c:pt idx="408">
                  <c:v>1142.1698913268979</c:v>
                </c:pt>
                <c:pt idx="409">
                  <c:v>1162.947199425651</c:v>
                </c:pt>
                <c:pt idx="410">
                  <c:v>1183.3130186754493</c:v>
                </c:pt>
                <c:pt idx="411">
                  <c:v>1203.2801955275715</c:v>
                </c:pt>
                <c:pt idx="412">
                  <c:v>1222.8609006264969</c:v>
                </c:pt>
                <c:pt idx="413">
                  <c:v>1242.0666755678985</c:v>
                </c:pt>
                <c:pt idx="414">
                  <c:v>1260.9084756429668</c:v>
                </c:pt>
                <c:pt idx="415">
                  <c:v>1279.3967089776197</c:v>
                </c:pt>
                <c:pt idx="416">
                  <c:v>1297.5412724272512</c:v>
                </c:pt>
                <c:pt idx="417">
                  <c:v>1315.351584546094</c:v>
                </c:pt>
                <c:pt idx="418">
                  <c:v>1332.8366159141028</c:v>
                </c:pt>
                <c:pt idx="419">
                  <c:v>1350.0049170727225</c:v>
                </c:pt>
                <c:pt idx="420">
                  <c:v>1366.8646442933325</c:v>
                </c:pt>
                <c:pt idx="421">
                  <c:v>1383.4235833779983</c:v>
                </c:pt>
                <c:pt idx="422">
                  <c:v>1399.6891716709438</c:v>
                </c:pt>
                <c:pt idx="423">
                  <c:v>1415.6685184404942</c:v>
                </c:pt>
                <c:pt idx="424">
                  <c:v>1431.3684237747725</c:v>
                </c:pt>
                <c:pt idx="425">
                  <c:v>1446.7953961198873</c:v>
                </c:pt>
                <c:pt idx="426">
                  <c:v>1461.9556685764751</c:v>
                </c:pt>
                <c:pt idx="427">
                  <c:v>1476.855214059035</c:v>
                </c:pt>
                <c:pt idx="428">
                  <c:v>1491.4997594123483</c:v>
                </c:pt>
                <c:pt idx="429">
                  <c:v>1505.8947985702378</c:v>
                </c:pt>
                <c:pt idx="430">
                  <c:v>1520.0456048338697</c:v>
                </c:pt>
                <c:pt idx="431">
                  <c:v>1533.9572423396069</c:v>
                </c:pt>
                <c:pt idx="432">
                  <c:v>1547.6345767799812</c:v>
                </c:pt>
                <c:pt idx="433">
                  <c:v>1561.0822854355936</c:v>
                </c:pt>
                <c:pt idx="434">
                  <c:v>1574.3048665705676</c:v>
                </c:pt>
                <c:pt idx="435">
                  <c:v>1587.3066482395388</c:v>
                </c:pt>
                <c:pt idx="436">
                  <c:v>1600.0917965499723</c:v>
                </c:pt>
                <c:pt idx="437">
                  <c:v>1612.6643234198289</c:v>
                </c:pt>
                <c:pt idx="438">
                  <c:v>1625.0280938672004</c:v>
                </c:pt>
                <c:pt idx="439">
                  <c:v>1637.1868328654512</c:v>
                </c:pt>
                <c:pt idx="440">
                  <c:v>1649.1441317946246</c:v>
                </c:pt>
                <c:pt idx="441">
                  <c:v>1660.9034545173502</c:v>
                </c:pt>
                <c:pt idx="442">
                  <c:v>1672.4681431051963</c:v>
                </c:pt>
                <c:pt idx="443">
                  <c:v>1683.8414232393395</c:v>
                </c:pt>
                <c:pt idx="444">
                  <c:v>1695.0264093075298</c:v>
                </c:pt>
                <c:pt idx="445">
                  <c:v>1706.0261092176106</c:v>
                </c:pt>
                <c:pt idx="446">
                  <c:v>1716.8434289462873</c:v>
                </c:pt>
                <c:pt idx="447">
                  <c:v>1727.481176840407</c:v>
                </c:pt>
                <c:pt idx="448">
                  <c:v>1737.9420676867044</c:v>
                </c:pt>
                <c:pt idx="449">
                  <c:v>1748.2287265647778</c:v>
                </c:pt>
                <c:pt idx="450">
                  <c:v>1758.3436924969649</c:v>
                </c:pt>
                <c:pt idx="451">
                  <c:v>1768.289421907785</c:v>
                </c:pt>
                <c:pt idx="452">
                  <c:v>1778.0682919047022</c:v>
                </c:pt>
                <c:pt idx="453">
                  <c:v>1787.6826033911148</c:v>
                </c:pt>
                <c:pt idx="454">
                  <c:v>1797.1345840217057</c:v>
                </c:pt>
                <c:pt idx="455">
                  <c:v>1806.4263910095788</c:v>
                </c:pt>
                <c:pt idx="456">
                  <c:v>1815.560113793945</c:v>
                </c:pt>
                <c:pt idx="457">
                  <c:v>1824.5377765765263</c:v>
                </c:pt>
                <c:pt idx="458">
                  <c:v>1833.3613407342839</c:v>
                </c:pt>
                <c:pt idx="459">
                  <c:v>1842.0327071155643</c:v>
                </c:pt>
                <c:pt idx="460">
                  <c:v>1850.5537182262879</c:v>
                </c:pt>
                <c:pt idx="461">
                  <c:v>1858.9261603123596</c:v>
                </c:pt>
                <c:pt idx="462">
                  <c:v>1867.1517653440819</c:v>
                </c:pt>
                <c:pt idx="463">
                  <c:v>1875.2322129079728</c:v>
                </c:pt>
                <c:pt idx="464">
                  <c:v>1883.1691320110449</c:v>
                </c:pt>
                <c:pt idx="465">
                  <c:v>1890.9641028022809</c:v>
                </c:pt>
                <c:pt idx="466">
                  <c:v>1898.61865821574</c:v>
                </c:pt>
                <c:pt idx="467">
                  <c:v>1906.134285539455</c:v>
                </c:pt>
                <c:pt idx="468">
                  <c:v>1913.5124279140234</c:v>
                </c:pt>
                <c:pt idx="469">
                  <c:v>1920.7544857645526</c:v>
                </c:pt>
                <c:pt idx="470">
                  <c:v>1927.8618181694021</c:v>
                </c:pt>
                <c:pt idx="471">
                  <c:v>1934.8357441689566</c:v>
                </c:pt>
                <c:pt idx="472">
                  <c:v>1941.6775440174697</c:v>
                </c:pt>
                <c:pt idx="473">
                  <c:v>1948.3884603808444</c:v>
                </c:pt>
                <c:pt idx="474">
                  <c:v>1954.9696994830424</c:v>
                </c:pt>
                <c:pt idx="475">
                  <c:v>1961.4224322036653</c:v>
                </c:pt>
                <c:pt idx="476">
                  <c:v>1967.747795129101</c:v>
                </c:pt>
                <c:pt idx="477">
                  <c:v>1973.9468915594985</c:v>
                </c:pt>
                <c:pt idx="478">
                  <c:v>1980.0207924737019</c:v>
                </c:pt>
                <c:pt idx="479">
                  <c:v>1985.9705374541638</c:v>
                </c:pt>
                <c:pt idx="480">
                  <c:v>1991.7971355737438</c:v>
                </c:pt>
                <c:pt idx="481">
                  <c:v>1997.5015662461981</c:v>
                </c:pt>
                <c:pt idx="482">
                  <c:v>2003.0847800420711</c:v>
                </c:pt>
                <c:pt idx="483">
                  <c:v>2008.5476994716109</c:v>
                </c:pt>
                <c:pt idx="484">
                  <c:v>2013.8912197362474</c:v>
                </c:pt>
                <c:pt idx="485">
                  <c:v>2019.116209450098</c:v>
                </c:pt>
                <c:pt idx="486">
                  <c:v>2024.2235113328923</c:v>
                </c:pt>
                <c:pt idx="487">
                  <c:v>2029.2139428756429</c:v>
                </c:pt>
                <c:pt idx="488">
                  <c:v>2034.0882969803306</c:v>
                </c:pt>
                <c:pt idx="489">
                  <c:v>2038.8473425748114</c:v>
                </c:pt>
                <c:pt idx="490">
                  <c:v>2043.4918252041105</c:v>
                </c:pt>
                <c:pt idx="491">
                  <c:v>2048.0224675992131</c:v>
                </c:pt>
                <c:pt idx="492">
                  <c:v>2052.43997022443</c:v>
                </c:pt>
                <c:pt idx="493">
                  <c:v>2056.745011804368</c:v>
                </c:pt>
                <c:pt idx="494">
                  <c:v>2060.9382498315153</c:v>
                </c:pt>
                <c:pt idx="495">
                  <c:v>2065.0203210554164</c:v>
                </c:pt>
                <c:pt idx="496">
                  <c:v>2068.9918419543851</c:v>
                </c:pt>
                <c:pt idx="497">
                  <c:v>2072.8534091907018</c:v>
                </c:pt>
                <c:pt idx="498">
                  <c:v>2076.6056000502076</c:v>
                </c:pt>
                <c:pt idx="499">
                  <c:v>2080.2489728672176</c:v>
                </c:pt>
                <c:pt idx="500">
                  <c:v>2083.7840674356667</c:v>
                </c:pt>
                <c:pt idx="501">
                  <c:v>2087.2114054074027</c:v>
                </c:pt>
                <c:pt idx="502">
                  <c:v>2090.5314906785634</c:v>
                </c:pt>
                <c:pt idx="503">
                  <c:v>2093.7448097649776</c:v>
                </c:pt>
                <c:pt idx="504">
                  <c:v>2096.8518321675706</c:v>
                </c:pt>
                <c:pt idx="505">
                  <c:v>2099.8530107287779</c:v>
                </c:pt>
                <c:pt idx="506">
                  <c:v>2102.7487819810194</c:v>
                </c:pt>
                <c:pt idx="507">
                  <c:v>2105.5395664883395</c:v>
                </c:pt>
                <c:pt idx="508">
                  <c:v>2108.2257691823761</c:v>
                </c:pt>
                <c:pt idx="509">
                  <c:v>2110.807779693906</c:v>
                </c:pt>
                <c:pt idx="510">
                  <c:v>2113.2859726812926</c:v>
                </c:pt>
                <c:pt idx="511">
                  <c:v>2115.6607081572611</c:v>
                </c:pt>
                <c:pt idx="512">
                  <c:v>2117.932331815548</c:v>
                </c:pt>
                <c:pt idx="513">
                  <c:v>2120.1011753590815</c:v>
                </c:pt>
                <c:pt idx="514">
                  <c:v>2122.1675568315004</c:v>
                </c:pt>
                <c:pt idx="515">
                  <c:v>2124.1317809539551</c:v>
                </c:pt>
                <c:pt idx="516">
                  <c:v>2125.9941394693001</c:v>
                </c:pt>
                <c:pt idx="517">
                  <c:v>2127.7549114959402</c:v>
                </c:pt>
                <c:pt idx="518">
                  <c:v>2129.4143638937599</c:v>
                </c:pt>
                <c:pt idx="519">
                  <c:v>2130.9727516447097</c:v>
                </c:pt>
                <c:pt idx="520">
                  <c:v>2132.4303182507697</c:v>
                </c:pt>
                <c:pt idx="521">
                  <c:v>2133.7872961521034</c:v>
                </c:pt>
                <c:pt idx="522">
                  <c:v>2135.0439071682822</c:v>
                </c:pt>
                <c:pt idx="523">
                  <c:v>2136.200362965456</c:v>
                </c:pt>
                <c:pt idx="524">
                  <c:v>2137.2568655522532</c:v>
                </c:pt>
                <c:pt idx="525">
                  <c:v>2138.2136078070039</c:v>
                </c:pt>
                <c:pt idx="526">
                  <c:v>2139.0707740385515</c:v>
                </c:pt>
                <c:pt idx="527">
                  <c:v>2139.8285405824527</c:v>
                </c:pt>
                <c:pt idx="528">
                  <c:v>2140.4870764337247</c:v>
                </c:pt>
                <c:pt idx="529">
                  <c:v>2141.0465439165023</c:v>
                </c:pt>
                <c:pt idx="530">
                  <c:v>2141.5070993900003</c:v>
                </c:pt>
                <c:pt idx="531">
                  <c:v>2141.8688939890753</c:v>
                </c:pt>
                <c:pt idx="532">
                  <c:v>2142.1320743964789</c:v>
                </c:pt>
                <c:pt idx="533">
                  <c:v>2142.2967836426533</c:v>
                </c:pt>
                <c:pt idx="534">
                  <c:v>2142.3631619277116</c:v>
                </c:pt>
                <c:pt idx="535">
                  <c:v>2142.3313474591496</c:v>
                </c:pt>
                <c:pt idx="536">
                  <c:v>2142.2014772979314</c:v>
                </c:pt>
                <c:pt idx="537">
                  <c:v>2141.9736882049715</c:v>
                </c:pt>
                <c:pt idx="538">
                  <c:v>2141.6481174797218</c:v>
                </c:pt>
                <c:pt idx="539">
                  <c:v>2141.2249037826227</c:v>
                </c:pt>
                <c:pt idx="540">
                  <c:v>2140.7041879335679</c:v>
                </c:pt>
                <c:pt idx="541">
                  <c:v>2140.0861136792423</c:v>
                </c:pt>
                <c:pt idx="542">
                  <c:v>2139.3708284231539</c:v>
                </c:pt>
                <c:pt idx="543">
                  <c:v>2138.5584839133212</c:v>
                </c:pt>
                <c:pt idx="544">
                  <c:v>2137.6492368838085</c:v>
                </c:pt>
                <c:pt idx="545">
                  <c:v>2136.6432496475531</c:v>
                </c:pt>
                <c:pt idx="546">
                  <c:v>2135.5406906391067</c:v>
                </c:pt>
                <c:pt idx="547">
                  <c:v>2134.3417349070019</c:v>
                </c:pt>
                <c:pt idx="548">
                  <c:v>2133.0465645563636</c:v>
                </c:pt>
                <c:pt idx="549">
                  <c:v>2131.6553691431591</c:v>
                </c:pt>
                <c:pt idx="550">
                  <c:v>2130.1683460220479</c:v>
                </c:pt>
                <c:pt idx="551">
                  <c:v>2128.5857006502288</c:v>
                </c:pt>
                <c:pt idx="552">
                  <c:v>2126.9076468499461</c:v>
                </c:pt>
                <c:pt idx="553">
                  <c:v>2125.1344070324708</c:v>
                </c:pt>
                <c:pt idx="554">
                  <c:v>2123.2662123864152</c:v>
                </c:pt>
                <c:pt idx="555">
                  <c:v>2121.3033030332108</c:v>
                </c:pt>
                <c:pt idx="556">
                  <c:v>2119.2459281524789</c:v>
                </c:pt>
                <c:pt idx="557">
                  <c:v>2117.0943460798962</c:v>
                </c:pt>
                <c:pt idx="558">
                  <c:v>2114.8488243799916</c:v>
                </c:pt>
                <c:pt idx="559">
                  <c:v>2112.5096398961368</c:v>
                </c:pt>
                <c:pt idx="560">
                  <c:v>2110.0770787798115</c:v>
                </c:pt>
                <c:pt idx="561">
                  <c:v>2107.5514365010449</c:v>
                </c:pt>
                <c:pt idx="562">
                  <c:v>2104.9330178417645</c:v>
                </c:pt>
                <c:pt idx="563">
                  <c:v>2102.2221368736127</c:v>
                </c:pt>
                <c:pt idx="564">
                  <c:v>2099.419116921646</c:v>
                </c:pt>
                <c:pt idx="565">
                  <c:v>2096.524290515189</c:v>
                </c:pt>
                <c:pt idx="566">
                  <c:v>2093.5379993269858</c:v>
                </c:pt>
                <c:pt idx="567">
                  <c:v>2090.4605941016771</c:v>
                </c:pt>
                <c:pt idx="568">
                  <c:v>2087.2924345745323</c:v>
                </c:pt>
                <c:pt idx="569">
                  <c:v>2084.0338893812645</c:v>
                </c:pt>
                <c:pt idx="570">
                  <c:v>2080.6853359596807</c:v>
                </c:pt>
                <c:pt idx="571">
                  <c:v>2077.2471604438483</c:v>
                </c:pt>
                <c:pt idx="572">
                  <c:v>2073.7197575513856</c:v>
                </c:pt>
                <c:pt idx="573">
                  <c:v>2070.1035304644356</c:v>
                </c:pt>
                <c:pt idx="574">
                  <c:v>2066.398890704832</c:v>
                </c:pt>
                <c:pt idx="575">
                  <c:v>2062.6062580039134</c:v>
                </c:pt>
                <c:pt idx="576">
                  <c:v>2058.7260601674161</c:v>
                </c:pt>
                <c:pt idx="577">
                  <c:v>2054.7587329358275</c:v>
                </c:pt>
                <c:pt idx="578">
                  <c:v>2050.7047198405635</c:v>
                </c:pt>
                <c:pt idx="579">
                  <c:v>2046.5644720563018</c:v>
                </c:pt>
                <c:pt idx="580">
                  <c:v>2042.3384482497786</c:v>
                </c:pt>
                <c:pt idx="581">
                  <c:v>2038.0271144253359</c:v>
                </c:pt>
                <c:pt idx="582">
                  <c:v>2033.630943767492</c:v>
                </c:pt>
                <c:pt idx="583">
                  <c:v>2029.1504164807866</c:v>
                </c:pt>
                <c:pt idx="584">
                  <c:v>2024.5860196271387</c:v>
                </c:pt>
                <c:pt idx="585">
                  <c:v>2019.938246960945</c:v>
                </c:pt>
                <c:pt idx="586">
                  <c:v>2015.2075987621315</c:v>
                </c:pt>
                <c:pt idx="587">
                  <c:v>2010.3945816673638</c:v>
                </c:pt>
                <c:pt idx="588">
                  <c:v>2005.4997084996087</c:v>
                </c:pt>
                <c:pt idx="589">
                  <c:v>2000.5234980962339</c:v>
                </c:pt>
                <c:pt idx="590">
                  <c:v>1995.4664751358241</c:v>
                </c:pt>
                <c:pt idx="591">
                  <c:v>1990.3291699638842</c:v>
                </c:pt>
                <c:pt idx="592">
                  <c:v>1985.1121184175936</c:v>
                </c:pt>
                <c:pt idx="593">
                  <c:v>1979.8158616497713</c:v>
                </c:pt>
                <c:pt idx="594">
                  <c:v>1974.4409459522028</c:v>
                </c:pt>
                <c:pt idx="595">
                  <c:v>1968.9879225784773</c:v>
                </c:pt>
                <c:pt idx="596">
                  <c:v>1963.4573475664779</c:v>
                </c:pt>
                <c:pt idx="597">
                  <c:v>1957.8497815606615</c:v>
                </c:pt>
                <c:pt idx="598">
                  <c:v>1952.1657896342633</c:v>
                </c:pt>
                <c:pt idx="599">
                  <c:v>1946.4059411115534</c:v>
                </c:pt>
                <c:pt idx="600">
                  <c:v>1940.5708093902715</c:v>
                </c:pt>
                <c:pt idx="601">
                  <c:v>1934.6609717643603</c:v>
                </c:pt>
                <c:pt idx="602">
                  <c:v>1928.6770092471149</c:v>
                </c:pt>
                <c:pt idx="603">
                  <c:v>1922.6195063948624</c:v>
                </c:pt>
                <c:pt idx="604">
                  <c:v>1916.4890511312794</c:v>
                </c:pt>
                <c:pt idx="605">
                  <c:v>1910.2862345724573</c:v>
                </c:pt>
                <c:pt idx="606">
                  <c:v>1904.0116508528142</c:v>
                </c:pt>
                <c:pt idx="607">
                  <c:v>1897.6658969519569</c:v>
                </c:pt>
                <c:pt idx="608">
                  <c:v>1891.2495725225851</c:v>
                </c:pt>
                <c:pt idx="609">
                  <c:v>1884.7632797195338</c:v>
                </c:pt>
                <c:pt idx="610">
                  <c:v>1878.207623030042</c:v>
                </c:pt>
                <c:pt idx="611">
                  <c:v>1871.5832091053342</c:v>
                </c:pt>
                <c:pt idx="612">
                  <c:v>1864.890646593597</c:v>
                </c:pt>
                <c:pt idx="613">
                  <c:v>1858.1305459744324</c:v>
                </c:pt>
                <c:pt idx="614">
                  <c:v>1851.3035193948631</c:v>
                </c:pt>
                <c:pt idx="615">
                  <c:v>1844.4101805069636</c:v>
                </c:pt>
                <c:pt idx="616">
                  <c:v>1837.4511443071888</c:v>
                </c:pt>
                <c:pt idx="617">
                  <c:v>1830.4270269774661</c:v>
                </c:pt>
                <c:pt idx="618">
                  <c:v>1823.3384457281165</c:v>
                </c:pt>
                <c:pt idx="619">
                  <c:v>1816.1860186426659</c:v>
                </c:pt>
                <c:pt idx="620">
                  <c:v>1808.9703645246043</c:v>
                </c:pt>
                <c:pt idx="621">
                  <c:v>1801.6921027461503</c:v>
                </c:pt>
                <c:pt idx="622">
                  <c:v>1794.3518530990718</c:v>
                </c:pt>
                <c:pt idx="623">
                  <c:v>1786.9502356476132</c:v>
                </c:pt>
                <c:pt idx="624">
                  <c:v>1779.4878705835763</c:v>
                </c:pt>
                <c:pt idx="625">
                  <c:v>1771.9653780835988</c:v>
                </c:pt>
                <c:pt idx="626">
                  <c:v>1764.3833781686719</c:v>
                </c:pt>
                <c:pt idx="627">
                  <c:v>1756.7424905659348</c:v>
                </c:pt>
                <c:pt idx="628">
                  <c:v>1749.0433345727824</c:v>
                </c:pt>
                <c:pt idx="629">
                  <c:v>1741.2865289233214</c:v>
                </c:pt>
                <c:pt idx="630">
                  <c:v>1733.4726916572004</c:v>
                </c:pt>
                <c:pt idx="631">
                  <c:v>1725.6024399908474</c:v>
                </c:pt>
                <c:pt idx="632">
                  <c:v>1717.6763901911377</c:v>
                </c:pt>
                <c:pt idx="633">
                  <c:v>1709.695157451514</c:v>
                </c:pt>
                <c:pt idx="634">
                  <c:v>1701.6593557705817</c:v>
                </c:pt>
                <c:pt idx="635">
                  <c:v>1693.5695978331958</c:v>
                </c:pt>
                <c:pt idx="636">
                  <c:v>1685.4264948940558</c:v>
                </c:pt>
                <c:pt idx="637">
                  <c:v>1677.2306566638226</c:v>
                </c:pt>
                <c:pt idx="638">
                  <c:v>1668.9826911977666</c:v>
                </c:pt>
                <c:pt idx="639">
                  <c:v>1660.6832047869586</c:v>
                </c:pt>
                <c:pt idx="640">
                  <c:v>1652.332801852009</c:v>
                </c:pt>
                <c:pt idx="641">
                  <c:v>1643.9320848393602</c:v>
                </c:pt>
                <c:pt idx="642">
                  <c:v>1635.4816541201349</c:v>
                </c:pt>
                <c:pt idx="643">
                  <c:v>1626.9821078915415</c:v>
                </c:pt>
                <c:pt idx="644">
                  <c:v>1618.4340420808355</c:v>
                </c:pt>
                <c:pt idx="645">
                  <c:v>1609.8380502518323</c:v>
                </c:pt>
                <c:pt idx="646">
                  <c:v>1601.1947235139701</c:v>
                </c:pt>
                <c:pt idx="647">
                  <c:v>1592.5046504339118</c:v>
                </c:pt>
                <c:pt idx="648">
                  <c:v>1583.7684169496818</c:v>
                </c:pt>
                <c:pt idx="649">
                  <c:v>1574.986606287325</c:v>
                </c:pt>
                <c:pt idx="650">
                  <c:v>1566.1597988800772</c:v>
                </c:pt>
                <c:pt idx="651">
                  <c:v>1557.2885722900353</c:v>
                </c:pt>
                <c:pt idx="652">
                  <c:v>1548.3735011323104</c:v>
                </c:pt>
                <c:pt idx="653">
                  <c:v>1539.4151570016497</c:v>
                </c:pt>
                <c:pt idx="654">
                  <c:v>1530.4141084015093</c:v>
                </c:pt>
                <c:pt idx="655">
                  <c:v>1521.37092067556</c:v>
                </c:pt>
                <c:pt idx="656">
                  <c:v>1512.2861559416044</c:v>
                </c:pt>
                <c:pt idx="657">
                  <c:v>1503.1603730278871</c:v>
                </c:pt>
                <c:pt idx="658">
                  <c:v>1493.9941274117734</c:v>
                </c:pt>
                <c:pt idx="659">
                  <c:v>1484.787971160775</c:v>
                </c:pt>
                <c:pt idx="660">
                  <c:v>1475.5424528758977</c:v>
                </c:pt>
                <c:pt idx="661">
                  <c:v>1466.2581176372853</c:v>
                </c:pt>
                <c:pt idx="662">
                  <c:v>1456.9355069521355</c:v>
                </c:pt>
                <c:pt idx="663">
                  <c:v>1447.5751587048585</c:v>
                </c:pt>
                <c:pt idx="664">
                  <c:v>1438.177607109453</c:v>
                </c:pt>
                <c:pt idx="665">
                  <c:v>1428.7433826640683</c:v>
                </c:pt>
                <c:pt idx="666">
                  <c:v>1419.2730121077252</c:v>
                </c:pt>
                <c:pt idx="667">
                  <c:v>1409.7670183791652</c:v>
                </c:pt>
                <c:pt idx="668">
                  <c:v>1400.2259205777978</c:v>
                </c:pt>
                <c:pt idx="669">
                  <c:v>1390.6502339267138</c:v>
                </c:pt>
                <c:pt idx="670">
                  <c:v>1381.0404697377337</c:v>
                </c:pt>
                <c:pt idx="671">
                  <c:v>1371.3971353784589</c:v>
                </c:pt>
                <c:pt idx="672">
                  <c:v>1361.7207342412928</c:v>
                </c:pt>
                <c:pt idx="673">
                  <c:v>1352.0117657144003</c:v>
                </c:pt>
                <c:pt idx="674">
                  <c:v>1342.2707251545694</c:v>
                </c:pt>
                <c:pt idx="675">
                  <c:v>1332.4981038619442</c:v>
                </c:pt>
                <c:pt idx="676">
                  <c:v>1322.6943890565935</c:v>
                </c:pt>
                <c:pt idx="677">
                  <c:v>1312.8600638568828</c:v>
                </c:pt>
                <c:pt idx="678">
                  <c:v>1302.9956072596119</c:v>
                </c:pt>
                <c:pt idx="679">
                  <c:v>1293.1014941218875</c:v>
                </c:pt>
                <c:pt idx="680">
                  <c:v>1283.1781951446935</c:v>
                </c:pt>
                <c:pt idx="681">
                  <c:v>1273.2261768581252</c:v>
                </c:pt>
                <c:pt idx="682">
                  <c:v>1263.2459016082523</c:v>
                </c:pt>
                <c:pt idx="683">
                  <c:v>1253.2378275455762</c:v>
                </c:pt>
                <c:pt idx="684">
                  <c:v>1243.2024086150461</c:v>
                </c:pt>
                <c:pt idx="685">
                  <c:v>1233.1400945475993</c:v>
                </c:pt>
                <c:pt idx="686">
                  <c:v>1223.0513308531922</c:v>
                </c:pt>
                <c:pt idx="687">
                  <c:v>1212.9365588152843</c:v>
                </c:pt>
                <c:pt idx="688">
                  <c:v>1202.7962154867434</c:v>
                </c:pt>
                <c:pt idx="689">
                  <c:v>1192.6307336871371</c:v>
                </c:pt>
                <c:pt idx="690">
                  <c:v>1182.4405420013738</c:v>
                </c:pt>
                <c:pt idx="691">
                  <c:v>1172.2260647796636</c:v>
                </c:pt>
                <c:pt idx="692">
                  <c:v>1161.9877221387596</c:v>
                </c:pt>
                <c:pt idx="693">
                  <c:v>1151.7259299644516</c:v>
                </c:pt>
                <c:pt idx="694">
                  <c:v>1141.4410999152735</c:v>
                </c:pt>
                <c:pt idx="695">
                  <c:v>1131.1336394273956</c:v>
                </c:pt>
                <c:pt idx="696">
                  <c:v>1120.8039517206648</c:v>
                </c:pt>
                <c:pt idx="697">
                  <c:v>1110.4524358057643</c:v>
                </c:pt>
                <c:pt idx="698">
                  <c:v>1100.079486492456</c:v>
                </c:pt>
                <c:pt idx="699">
                  <c:v>1089.6854943988781</c:v>
                </c:pt>
                <c:pt idx="700">
                  <c:v>1079.2708459618616</c:v>
                </c:pt>
                <c:pt idx="701">
                  <c:v>1068.8359234482386</c:v>
                </c:pt>
                <c:pt idx="702">
                  <c:v>1058.3811049671087</c:v>
                </c:pt>
                <c:pt idx="703">
                  <c:v>1047.9067644830336</c:v>
                </c:pt>
                <c:pt idx="704">
                  <c:v>1037.41327183013</c:v>
                </c:pt>
                <c:pt idx="705">
                  <c:v>1026.9009927270313</c:v>
                </c:pt>
                <c:pt idx="706">
                  <c:v>1016.370288792687</c:v>
                </c:pt>
                <c:pt idx="707">
                  <c:v>1005.8215175629738</c:v>
                </c:pt>
                <c:pt idx="708">
                  <c:v>995.25503250808617</c:v>
                </c:pt>
                <c:pt idx="709">
                  <c:v>984.67118305068152</c:v>
                </c:pt>
                <c:pt idx="710">
                  <c:v>974.07031458475001</c:v>
                </c:pt>
                <c:pt idx="711">
                  <c:v>963.45276849518302</c:v>
                </c:pt>
                <c:pt idx="712">
                  <c:v>952.81888217801281</c:v>
                </c:pt>
                <c:pt idx="713">
                  <c:v>942.16898906129722</c:v>
                </c:pt>
                <c:pt idx="714">
                  <c:v>931.50341862662356</c:v>
                </c:pt>
                <c:pt idx="715">
                  <c:v>920.82249643120599</c:v>
                </c:pt>
                <c:pt idx="716">
                  <c:v>910.12654413055157</c:v>
                </c:pt>
                <c:pt idx="717">
                  <c:v>899.41587950167013</c:v>
                </c:pt>
                <c:pt idx="718">
                  <c:v>888.69081646680468</c:v>
                </c:pt>
                <c:pt idx="719">
                  <c:v>877.95166511765751</c:v>
                </c:pt>
                <c:pt idx="720">
                  <c:v>867.19873174009001</c:v>
                </c:pt>
                <c:pt idx="721">
                  <c:v>856.4323188392724</c:v>
                </c:pt>
                <c:pt idx="722">
                  <c:v>845.65272516526238</c:v>
                </c:pt>
                <c:pt idx="723">
                  <c:v>834.86024573898987</c:v>
                </c:pt>
                <c:pt idx="724">
                  <c:v>824.05517187862711</c:v>
                </c:pt>
                <c:pt idx="725">
                  <c:v>813.23779122632288</c:v>
                </c:pt>
                <c:pt idx="726">
                  <c:v>802.40838777528097</c:v>
                </c:pt>
                <c:pt idx="727">
                  <c:v>791.56724189716272</c:v>
                </c:pt>
                <c:pt idx="728">
                  <c:v>780.71463036979389</c:v>
                </c:pt>
                <c:pt idx="729">
                  <c:v>769.85082640515725</c:v>
                </c:pt>
                <c:pt idx="730">
                  <c:v>758.97609967765197</c:v>
                </c:pt>
                <c:pt idx="731">
                  <c:v>748.0907163526025</c:v>
                </c:pt>
                <c:pt idx="732">
                  <c:v>737.19493911499774</c:v>
                </c:pt>
                <c:pt idx="733">
                  <c:v>726.28902719844496</c:v>
                </c:pt>
                <c:pt idx="734">
                  <c:v>715.37323641432044</c:v>
                </c:pt>
                <c:pt idx="735">
                  <c:v>704.44781918110107</c:v>
                </c:pt>
                <c:pt idx="736">
                  <c:v>693.51302455386065</c:v>
                </c:pt>
                <c:pt idx="737">
                  <c:v>682.56909825391585</c:v>
                </c:pt>
                <c:pt idx="738">
                  <c:v>671.61628269860569</c:v>
                </c:pt>
                <c:pt idx="739">
                  <c:v>660.65481703119121</c:v>
                </c:pt>
                <c:pt idx="740">
                  <c:v>649.68493715086026</c:v>
                </c:pt>
                <c:pt idx="741">
                  <c:v>638.70687574282306</c:v>
                </c:pt>
                <c:pt idx="742">
                  <c:v>627.7208623084864</c:v>
                </c:pt>
                <c:pt idx="743">
                  <c:v>616.72712319569177</c:v>
                </c:pt>
                <c:pt idx="744">
                  <c:v>605.72588162900615</c:v>
                </c:pt>
                <c:pt idx="745">
                  <c:v>594.71735774005231</c:v>
                </c:pt>
                <c:pt idx="746">
                  <c:v>583.70176859786648</c:v>
                </c:pt>
                <c:pt idx="747">
                  <c:v>572.67932823927288</c:v>
                </c:pt>
                <c:pt idx="748">
                  <c:v>561.6502476992622</c:v>
                </c:pt>
                <c:pt idx="749">
                  <c:v>550.61473504136495</c:v>
                </c:pt>
                <c:pt idx="750">
                  <c:v>539.57299538800794</c:v>
                </c:pt>
                <c:pt idx="751">
                  <c:v>528.52523095084382</c:v>
                </c:pt>
                <c:pt idx="752">
                  <c:v>517.47164106104481</c:v>
                </c:pt>
                <c:pt idx="753">
                  <c:v>506.41242219954938</c:v>
                </c:pt>
                <c:pt idx="754">
                  <c:v>495.34776802725486</c:v>
                </c:pt>
                <c:pt idx="755">
                  <c:v>484.27786941514501</c:v>
                </c:pt>
                <c:pt idx="756">
                  <c:v>473.20291447434539</c:v>
                </c:pt>
                <c:pt idx="757">
                  <c:v>462.12308858609782</c:v>
                </c:pt>
                <c:pt idx="758">
                  <c:v>451.03857443164594</c:v>
                </c:pt>
                <c:pt idx="759">
                  <c:v>439.94955202202442</c:v>
                </c:pt>
                <c:pt idx="760">
                  <c:v>428.85619872774407</c:v>
                </c:pt>
                <c:pt idx="761">
                  <c:v>417.75868930836646</c:v>
                </c:pt>
                <c:pt idx="762">
                  <c:v>406.65719594196048</c:v>
                </c:pt>
                <c:pt idx="763">
                  <c:v>395.5518882544348</c:v>
                </c:pt>
                <c:pt idx="764">
                  <c:v>384.44293334874004</c:v>
                </c:pt>
                <c:pt idx="765">
                  <c:v>373.33049583393421</c:v>
                </c:pt>
                <c:pt idx="766">
                  <c:v>362.21473785410598</c:v>
                </c:pt>
                <c:pt idx="767">
                  <c:v>351.09581911715037</c:v>
                </c:pt>
                <c:pt idx="768">
                  <c:v>339.97389692339129</c:v>
                </c:pt>
                <c:pt idx="769">
                  <c:v>328.84912619404622</c:v>
                </c:pt>
                <c:pt idx="770">
                  <c:v>317.72165949952807</c:v>
                </c:pt>
                <c:pt idx="771">
                  <c:v>306.5916470875797</c:v>
                </c:pt>
                <c:pt idx="772">
                  <c:v>295.45923691123659</c:v>
                </c:pt>
                <c:pt idx="773">
                  <c:v>284.32457465661412</c:v>
                </c:pt>
                <c:pt idx="774">
                  <c:v>273.18780377051456</c:v>
                </c:pt>
                <c:pt idx="775">
                  <c:v>262.04906548785118</c:v>
                </c:pt>
                <c:pt idx="776">
                  <c:v>250.90849885888483</c:v>
                </c:pt>
                <c:pt idx="777">
                  <c:v>239.76624077627068</c:v>
                </c:pt>
                <c:pt idx="778">
                  <c:v>228.62242600191129</c:v>
                </c:pt>
                <c:pt idx="779">
                  <c:v>217.47718719361336</c:v>
                </c:pt>
                <c:pt idx="780">
                  <c:v>206.3306549315453</c:v>
                </c:pt>
                <c:pt idx="781">
                  <c:v>195.18295774449305</c:v>
                </c:pt>
                <c:pt idx="782">
                  <c:v>184.03422213591168</c:v>
                </c:pt>
                <c:pt idx="783">
                  <c:v>172.88457260977054</c:v>
                </c:pt>
                <c:pt idx="784">
                  <c:v>161.73413169618982</c:v>
                </c:pt>
                <c:pt idx="785">
                  <c:v>150.58301997686652</c:v>
                </c:pt>
                <c:pt idx="786">
                  <c:v>139.43135611028811</c:v>
                </c:pt>
                <c:pt idx="787">
                  <c:v>128.27925685673213</c:v>
                </c:pt>
                <c:pt idx="788">
                  <c:v>117.12683710305035</c:v>
                </c:pt>
                <c:pt idx="789">
                  <c:v>105.97420988723582</c:v>
                </c:pt>
                <c:pt idx="790">
                  <c:v>94.821486422771898</c:v>
                </c:pt>
                <c:pt idx="791">
                  <c:v>83.668776122761912</c:v>
                </c:pt>
                <c:pt idx="792">
                  <c:v>72.51618662383845</c:v>
                </c:pt>
                <c:pt idx="793">
                  <c:v>61.363823809851567</c:v>
                </c:pt>
                <c:pt idx="794">
                  <c:v>50.211791835334935</c:v>
                </c:pt>
                <c:pt idx="795">
                  <c:v>39.060193148749448</c:v>
                </c:pt>
                <c:pt idx="796">
                  <c:v>27.909128515503639</c:v>
                </c:pt>
                <c:pt idx="797">
                  <c:v>16.758697040750533</c:v>
                </c:pt>
                <c:pt idx="798">
                  <c:v>5.6089961919605429</c:v>
                </c:pt>
                <c:pt idx="799">
                  <c:v>-5.5398781787297828</c:v>
                </c:pt>
                <c:pt idx="800">
                  <c:v>-5.5510266156151804</c:v>
                </c:pt>
                <c:pt idx="801">
                  <c:v>-5.5621750515330612</c:v>
                </c:pt>
                <c:pt idx="802">
                  <c:v>-5.5733234864833339</c:v>
                </c:pt>
                <c:pt idx="803">
                  <c:v>-5.5844719204659059</c:v>
                </c:pt>
                <c:pt idx="804">
                  <c:v>-5.595620353480685</c:v>
                </c:pt>
                <c:pt idx="805">
                  <c:v>-5.6067687855275796</c:v>
                </c:pt>
                <c:pt idx="806">
                  <c:v>-5.6179172166064983</c:v>
                </c:pt>
                <c:pt idx="807">
                  <c:v>-5.6290656467173488</c:v>
                </c:pt>
                <c:pt idx="808">
                  <c:v>-5.6402140758600394</c:v>
                </c:pt>
                <c:pt idx="809">
                  <c:v>-5.6513625040344788</c:v>
                </c:pt>
                <c:pt idx="810">
                  <c:v>-5.6625109312405746</c:v>
                </c:pt>
                <c:pt idx="811">
                  <c:v>-5.6736593574782344</c:v>
                </c:pt>
                <c:pt idx="812">
                  <c:v>-5.6848077827473666</c:v>
                </c:pt>
                <c:pt idx="813">
                  <c:v>-5.69595620704788</c:v>
                </c:pt>
                <c:pt idx="814">
                  <c:v>-5.7071046303796829</c:v>
                </c:pt>
                <c:pt idx="815">
                  <c:v>-5.7182530527426829</c:v>
                </c:pt>
                <c:pt idx="816">
                  <c:v>-5.7294014741367878</c:v>
                </c:pt>
                <c:pt idx="817">
                  <c:v>-5.740549894561906</c:v>
                </c:pt>
                <c:pt idx="818">
                  <c:v>-5.7516983140179461</c:v>
                </c:pt>
                <c:pt idx="819">
                  <c:v>-5.7628467325048165</c:v>
                </c:pt>
                <c:pt idx="820">
                  <c:v>-5.7739951500224249</c:v>
                </c:pt>
                <c:pt idx="821">
                  <c:v>-5.785143566570679</c:v>
                </c:pt>
                <c:pt idx="822">
                  <c:v>-5.7962919821494872</c:v>
                </c:pt>
                <c:pt idx="823">
                  <c:v>-5.807440396758758</c:v>
                </c:pt>
                <c:pt idx="824">
                  <c:v>-5.8185888103984</c:v>
                </c:pt>
                <c:pt idx="825">
                  <c:v>-5.8297372230683209</c:v>
                </c:pt>
                <c:pt idx="826">
                  <c:v>-5.8408856347684281</c:v>
                </c:pt>
                <c:pt idx="827">
                  <c:v>-5.8520340454986304</c:v>
                </c:pt>
                <c:pt idx="828">
                  <c:v>-5.8631824552588361</c:v>
                </c:pt>
                <c:pt idx="829">
                  <c:v>-5.8743308640489538</c:v>
                </c:pt>
                <c:pt idx="830">
                  <c:v>-5.8854792718688911</c:v>
                </c:pt>
                <c:pt idx="831">
                  <c:v>-5.8966276787185565</c:v>
                </c:pt>
                <c:pt idx="832">
                  <c:v>-5.9077760845978577</c:v>
                </c:pt>
                <c:pt idx="833">
                  <c:v>-5.9189244895067032</c:v>
                </c:pt>
                <c:pt idx="834">
                  <c:v>-5.9300728934450015</c:v>
                </c:pt>
                <c:pt idx="835">
                  <c:v>-5.9412212964126603</c:v>
                </c:pt>
                <c:pt idx="836">
                  <c:v>-5.952369698409588</c:v>
                </c:pt>
                <c:pt idx="837">
                  <c:v>-5.9635180994356922</c:v>
                </c:pt>
                <c:pt idx="838">
                  <c:v>-5.9746664994908816</c:v>
                </c:pt>
                <c:pt idx="839">
                  <c:v>-5.9858148985750645</c:v>
                </c:pt>
                <c:pt idx="840">
                  <c:v>-5.9969632966881488</c:v>
                </c:pt>
                <c:pt idx="841">
                  <c:v>-6.0081116938300427</c:v>
                </c:pt>
                <c:pt idx="842">
                  <c:v>-6.019260090000655</c:v>
                </c:pt>
                <c:pt idx="843">
                  <c:v>-6.0304084851998931</c:v>
                </c:pt>
                <c:pt idx="844">
                  <c:v>-6.0415568794276657</c:v>
                </c:pt>
                <c:pt idx="845">
                  <c:v>-6.0527052726838813</c:v>
                </c:pt>
                <c:pt idx="846">
                  <c:v>-6.0638536649684474</c:v>
                </c:pt>
                <c:pt idx="847">
                  <c:v>-6.0750020562812725</c:v>
                </c:pt>
                <c:pt idx="848">
                  <c:v>-6.0861504466222645</c:v>
                </c:pt>
                <c:pt idx="849">
                  <c:v>-6.0972988359913325</c:v>
                </c:pt>
                <c:pt idx="850">
                  <c:v>-6.1084472243883843</c:v>
                </c:pt>
                <c:pt idx="851">
                  <c:v>-6.1195956118133275</c:v>
                </c:pt>
                <c:pt idx="852">
                  <c:v>-6.1307439982660705</c:v>
                </c:pt>
                <c:pt idx="853">
                  <c:v>-6.141892383746522</c:v>
                </c:pt>
                <c:pt idx="854">
                  <c:v>-6.1530407682545896</c:v>
                </c:pt>
                <c:pt idx="855">
                  <c:v>-6.1641891517901826</c:v>
                </c:pt>
                <c:pt idx="856">
                  <c:v>-6.1753375343532078</c:v>
                </c:pt>
                <c:pt idx="857">
                  <c:v>-6.1864859159435746</c:v>
                </c:pt>
                <c:pt idx="858">
                  <c:v>-6.1976342965611906</c:v>
                </c:pt>
                <c:pt idx="859">
                  <c:v>-6.2087826762059644</c:v>
                </c:pt>
                <c:pt idx="860">
                  <c:v>-6.2199310548778035</c:v>
                </c:pt>
                <c:pt idx="861">
                  <c:v>-6.2310794325766166</c:v>
                </c:pt>
                <c:pt idx="862">
                  <c:v>-6.242227809302312</c:v>
                </c:pt>
                <c:pt idx="863">
                  <c:v>-6.2533761850547984</c:v>
                </c:pt>
                <c:pt idx="864">
                  <c:v>-6.2645245598339834</c:v>
                </c:pt>
                <c:pt idx="865">
                  <c:v>-6.2756729336397754</c:v>
                </c:pt>
                <c:pt idx="866">
                  <c:v>-6.2868213064720821</c:v>
                </c:pt>
                <c:pt idx="867">
                  <c:v>-6.297969678330813</c:v>
                </c:pt>
                <c:pt idx="868">
                  <c:v>-6.3091180492158747</c:v>
                </c:pt>
                <c:pt idx="869">
                  <c:v>-6.3202664191271767</c:v>
                </c:pt>
                <c:pt idx="870">
                  <c:v>-6.3314147880646265</c:v>
                </c:pt>
                <c:pt idx="871">
                  <c:v>-6.3425631560281328</c:v>
                </c:pt>
                <c:pt idx="872">
                  <c:v>-6.353711523017604</c:v>
                </c:pt>
                <c:pt idx="873">
                  <c:v>-6.3648598890329477</c:v>
                </c:pt>
                <c:pt idx="874">
                  <c:v>-6.3760082540740726</c:v>
                </c:pt>
                <c:pt idx="875">
                  <c:v>-6.387156618140887</c:v>
                </c:pt>
                <c:pt idx="876">
                  <c:v>-6.3983049812332986</c:v>
                </c:pt>
                <c:pt idx="877">
                  <c:v>-6.4094533433512169</c:v>
                </c:pt>
                <c:pt idx="878">
                  <c:v>-6.4206017044945485</c:v>
                </c:pt>
                <c:pt idx="879">
                  <c:v>-6.4317500646632029</c:v>
                </c:pt>
                <c:pt idx="880">
                  <c:v>-6.4428984238570877</c:v>
                </c:pt>
                <c:pt idx="881">
                  <c:v>-6.4540467820761114</c:v>
                </c:pt>
                <c:pt idx="882">
                  <c:v>-6.4651951393201825</c:v>
                </c:pt>
                <c:pt idx="883">
                  <c:v>-6.4763434955892087</c:v>
                </c:pt>
                <c:pt idx="884">
                  <c:v>-6.4874918508830985</c:v>
                </c:pt>
                <c:pt idx="885">
                  <c:v>-6.4986402052017604</c:v>
                </c:pt>
                <c:pt idx="886">
                  <c:v>-6.509788558545103</c:v>
                </c:pt>
                <c:pt idx="887">
                  <c:v>-6.5209369109130337</c:v>
                </c:pt>
                <c:pt idx="888">
                  <c:v>-6.5320852623054613</c:v>
                </c:pt>
                <c:pt idx="889">
                  <c:v>-6.5432336127222941</c:v>
                </c:pt>
                <c:pt idx="890">
                  <c:v>-6.5543819621634398</c:v>
                </c:pt>
                <c:pt idx="891">
                  <c:v>-6.565530310628807</c:v>
                </c:pt>
                <c:pt idx="892">
                  <c:v>-6.5766786581183041</c:v>
                </c:pt>
                <c:pt idx="893">
                  <c:v>-6.5878270046318397</c:v>
                </c:pt>
                <c:pt idx="894">
                  <c:v>-6.5989753501693214</c:v>
                </c:pt>
                <c:pt idx="895">
                  <c:v>-6.6101236947306576</c:v>
                </c:pt>
                <c:pt idx="896">
                  <c:v>-6.6212720383157571</c:v>
                </c:pt>
                <c:pt idx="897">
                  <c:v>-6.6324203809245272</c:v>
                </c:pt>
                <c:pt idx="898">
                  <c:v>-6.6435687225568767</c:v>
                </c:pt>
                <c:pt idx="899">
                  <c:v>-6.6547170632127139</c:v>
                </c:pt>
                <c:pt idx="900">
                  <c:v>-6.6658654028919475</c:v>
                </c:pt>
                <c:pt idx="901">
                  <c:v>-6.6770137415944859</c:v>
                </c:pt>
                <c:pt idx="902">
                  <c:v>-6.6881620793202368</c:v>
                </c:pt>
                <c:pt idx="903">
                  <c:v>-6.6993104160691086</c:v>
                </c:pt>
                <c:pt idx="904">
                  <c:v>-6.710458751841009</c:v>
                </c:pt>
                <c:pt idx="905">
                  <c:v>-6.7216070866358475</c:v>
                </c:pt>
                <c:pt idx="906">
                  <c:v>-6.7327554204535316</c:v>
                </c:pt>
                <c:pt idx="907">
                  <c:v>-6.7439037532939698</c:v>
                </c:pt>
                <c:pt idx="908">
                  <c:v>-6.7550520851570708</c:v>
                </c:pt>
                <c:pt idx="909">
                  <c:v>-6.766200416042742</c:v>
                </c:pt>
                <c:pt idx="910">
                  <c:v>-6.7773487459508921</c:v>
                </c:pt>
                <c:pt idx="911">
                  <c:v>-6.7884970748814295</c:v>
                </c:pt>
                <c:pt idx="912">
                  <c:v>-6.7996454028342628</c:v>
                </c:pt>
                <c:pt idx="913">
                  <c:v>-6.8107937298093004</c:v>
                </c:pt>
                <c:pt idx="914">
                  <c:v>-6.8219420558064501</c:v>
                </c:pt>
                <c:pt idx="915">
                  <c:v>-6.8330903808256203</c:v>
                </c:pt>
                <c:pt idx="916">
                  <c:v>-6.8442387048667195</c:v>
                </c:pt>
                <c:pt idx="917">
                  <c:v>-6.8553870279296554</c:v>
                </c:pt>
                <c:pt idx="918">
                  <c:v>-6.8665353500143373</c:v>
                </c:pt>
                <c:pt idx="919">
                  <c:v>-6.877683671120673</c:v>
                </c:pt>
                <c:pt idx="920">
                  <c:v>-6.8888319912485709</c:v>
                </c:pt>
                <c:pt idx="921">
                  <c:v>-6.8999803103979387</c:v>
                </c:pt>
                <c:pt idx="922">
                  <c:v>-6.9111286285686857</c:v>
                </c:pt>
                <c:pt idx="923">
                  <c:v>-6.9222769457607196</c:v>
                </c:pt>
                <c:pt idx="924">
                  <c:v>-6.9334252619739489</c:v>
                </c:pt>
                <c:pt idx="925">
                  <c:v>-6.9445735772082822</c:v>
                </c:pt>
                <c:pt idx="926">
                  <c:v>-6.955721891463627</c:v>
                </c:pt>
                <c:pt idx="927">
                  <c:v>-6.9668702047398927</c:v>
                </c:pt>
                <c:pt idx="928">
                  <c:v>-6.9780185170369871</c:v>
                </c:pt>
                <c:pt idx="929">
                  <c:v>-6.9891668283548185</c:v>
                </c:pt>
                <c:pt idx="930">
                  <c:v>-7.0003151386932947</c:v>
                </c:pt>
                <c:pt idx="931">
                  <c:v>-7.011463448052325</c:v>
                </c:pt>
                <c:pt idx="932">
                  <c:v>-7.0226117564318171</c:v>
                </c:pt>
                <c:pt idx="933">
                  <c:v>-7.0337600638316795</c:v>
                </c:pt>
                <c:pt idx="934">
                  <c:v>-7.0449083702518207</c:v>
                </c:pt>
                <c:pt idx="935">
                  <c:v>-7.0560566756921492</c:v>
                </c:pt>
                <c:pt idx="936">
                  <c:v>-7.0672049801525736</c:v>
                </c:pt>
                <c:pt idx="937">
                  <c:v>-7.0783532836330014</c:v>
                </c:pt>
                <c:pt idx="938">
                  <c:v>-7.0895015861333412</c:v>
                </c:pt>
                <c:pt idx="939">
                  <c:v>-7.1006498876535016</c:v>
                </c:pt>
                <c:pt idx="940">
                  <c:v>-7.1117981881933909</c:v>
                </c:pt>
                <c:pt idx="941">
                  <c:v>-7.1229464877529169</c:v>
                </c:pt>
                <c:pt idx="942">
                  <c:v>-7.134094786331989</c:v>
                </c:pt>
                <c:pt idx="943">
                  <c:v>-7.1452430839305148</c:v>
                </c:pt>
                <c:pt idx="944">
                  <c:v>-7.1563913805484027</c:v>
                </c:pt>
                <c:pt idx="945">
                  <c:v>-7.1675396761855614</c:v>
                </c:pt>
                <c:pt idx="946">
                  <c:v>-7.1786879708418985</c:v>
                </c:pt>
                <c:pt idx="947">
                  <c:v>-7.1898362645173233</c:v>
                </c:pt>
                <c:pt idx="948">
                  <c:v>-7.2009845572117435</c:v>
                </c:pt>
                <c:pt idx="949">
                  <c:v>-7.2121328489250676</c:v>
                </c:pt>
                <c:pt idx="950">
                  <c:v>-7.2232811396572041</c:v>
                </c:pt>
                <c:pt idx="951">
                  <c:v>-7.2344294294080616</c:v>
                </c:pt>
                <c:pt idx="952">
                  <c:v>-7.2455777181775476</c:v>
                </c:pt>
                <c:pt idx="953">
                  <c:v>-7.2567260059655716</c:v>
                </c:pt>
                <c:pt idx="954">
                  <c:v>-7.2678742927720412</c:v>
                </c:pt>
                <c:pt idx="955">
                  <c:v>-7.279022578596865</c:v>
                </c:pt>
                <c:pt idx="956">
                  <c:v>-7.2901708634399514</c:v>
                </c:pt>
                <c:pt idx="957">
                  <c:v>-7.3013191473012089</c:v>
                </c:pt>
                <c:pt idx="958">
                  <c:v>-7.3124674301805452</c:v>
                </c:pt>
                <c:pt idx="959">
                  <c:v>-7.3236157120778698</c:v>
                </c:pt>
                <c:pt idx="960">
                  <c:v>-7.3347639929930901</c:v>
                </c:pt>
                <c:pt idx="961">
                  <c:v>-7.3459122729261148</c:v>
                </c:pt>
                <c:pt idx="962">
                  <c:v>-7.3570605518768524</c:v>
                </c:pt>
                <c:pt idx="963">
                  <c:v>-7.3682088298452113</c:v>
                </c:pt>
                <c:pt idx="964">
                  <c:v>-7.3793571068310992</c:v>
                </c:pt>
                <c:pt idx="965">
                  <c:v>-7.3905053828344256</c:v>
                </c:pt>
                <c:pt idx="966">
                  <c:v>-7.401653657855098</c:v>
                </c:pt>
                <c:pt idx="967">
                  <c:v>-7.4128019318930258</c:v>
                </c:pt>
                <c:pt idx="968">
                  <c:v>-7.4239502049481167</c:v>
                </c:pt>
                <c:pt idx="969">
                  <c:v>-7.4350984770202793</c:v>
                </c:pt>
                <c:pt idx="970">
                  <c:v>-7.446246748109421</c:v>
                </c:pt>
                <c:pt idx="971">
                  <c:v>-7.4573950182154514</c:v>
                </c:pt>
                <c:pt idx="972">
                  <c:v>-7.4685432873382789</c:v>
                </c:pt>
                <c:pt idx="973">
                  <c:v>-7.4796915554778112</c:v>
                </c:pt>
                <c:pt idx="974">
                  <c:v>-7.4908398226339568</c:v>
                </c:pt>
                <c:pt idx="975">
                  <c:v>-7.5019880888066242</c:v>
                </c:pt>
                <c:pt idx="976">
                  <c:v>-7.5131363539957219</c:v>
                </c:pt>
                <c:pt idx="977">
                  <c:v>-7.5242846182011585</c:v>
                </c:pt>
                <c:pt idx="978">
                  <c:v>-7.5354328814228424</c:v>
                </c:pt>
                <c:pt idx="979">
                  <c:v>-7.5465811436606822</c:v>
                </c:pt>
                <c:pt idx="980">
                  <c:v>-7.5577294049145856</c:v>
                </c:pt>
                <c:pt idx="981">
                  <c:v>-7.5688776651844618</c:v>
                </c:pt>
                <c:pt idx="982">
                  <c:v>-7.5800259244702186</c:v>
                </c:pt>
                <c:pt idx="983">
                  <c:v>-7.5911741827717645</c:v>
                </c:pt>
                <c:pt idx="984">
                  <c:v>-7.6023224400890079</c:v>
                </c:pt>
                <c:pt idx="985">
                  <c:v>-7.6134706964218575</c:v>
                </c:pt>
                <c:pt idx="986">
                  <c:v>-7.6246189517702216</c:v>
                </c:pt>
                <c:pt idx="987">
                  <c:v>-7.6357672061340081</c:v>
                </c:pt>
                <c:pt idx="988">
                  <c:v>-7.6469154595131261</c:v>
                </c:pt>
                <c:pt idx="989">
                  <c:v>-7.6580637119074844</c:v>
                </c:pt>
                <c:pt idx="990">
                  <c:v>-7.6692119633169904</c:v>
                </c:pt>
                <c:pt idx="991">
                  <c:v>-7.6803602137415528</c:v>
                </c:pt>
                <c:pt idx="992">
                  <c:v>-7.6915084631810799</c:v>
                </c:pt>
                <c:pt idx="993">
                  <c:v>-7.7026567116354805</c:v>
                </c:pt>
                <c:pt idx="994">
                  <c:v>-7.7138049591046629</c:v>
                </c:pt>
                <c:pt idx="995">
                  <c:v>-7.7249532055885357</c:v>
                </c:pt>
                <c:pt idx="996">
                  <c:v>-7.7361014510870074</c:v>
                </c:pt>
                <c:pt idx="997">
                  <c:v>-7.7472496955999866</c:v>
                </c:pt>
                <c:pt idx="998">
                  <c:v>-7.7583979391273807</c:v>
                </c:pt>
                <c:pt idx="999">
                  <c:v>-7.7695461816690994</c:v>
                </c:pt>
                <c:pt idx="1000">
                  <c:v>-7.7806944232250501</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0</c:v>
                </c:pt>
                <c:pt idx="1">
                  <c:v>0.17363569688694569</c:v>
                </c:pt>
                <c:pt idx="2">
                  <c:v>0.34750386560925328</c:v>
                </c:pt>
                <c:pt idx="3">
                  <c:v>0.52211923500345592</c:v>
                </c:pt>
                <c:pt idx="4">
                  <c:v>0.69799637021569372</c:v>
                </c:pt>
                <c:pt idx="5">
                  <c:v>0.87573383083647349</c:v>
                </c:pt>
                <c:pt idx="6">
                  <c:v>1.0558009851432721</c:v>
                </c:pt>
                <c:pt idx="7">
                  <c:v>1.2383233442238872</c:v>
                </c:pt>
                <c:pt idx="8">
                  <c:v>1.4232957314156194</c:v>
                </c:pt>
                <c:pt idx="9">
                  <c:v>1.6107128865651981</c:v>
                </c:pt>
                <c:pt idx="10">
                  <c:v>1.80056946725103</c:v>
                </c:pt>
                <c:pt idx="11">
                  <c:v>1.9928600499772187</c:v>
                </c:pt>
                <c:pt idx="12">
                  <c:v>2.1875791313409199</c:v>
                </c:pt>
                <c:pt idx="13">
                  <c:v>2.3847211291744927</c:v>
                </c:pt>
                <c:pt idx="14">
                  <c:v>2.584280383663812</c:v>
                </c:pt>
                <c:pt idx="15">
                  <c:v>2.7862511584440135</c:v>
                </c:pt>
                <c:pt idx="16">
                  <c:v>2.9906276416738713</c:v>
                </c:pt>
                <c:pt idx="17">
                  <c:v>3.1974039470899114</c:v>
                </c:pt>
                <c:pt idx="18">
                  <c:v>3.4065741150413151</c:v>
                </c:pt>
                <c:pt idx="19">
                  <c:v>3.6181321135065829</c:v>
                </c:pt>
                <c:pt idx="20">
                  <c:v>3.8320718390928801</c:v>
                </c:pt>
                <c:pt idx="21">
                  <c:v>4.0483871180189155</c:v>
                </c:pt>
                <c:pt idx="22">
                  <c:v>4.2670717070821658</c:v>
                </c:pt>
                <c:pt idx="23">
                  <c:v>4.4881192946111952</c:v>
                </c:pt>
                <c:pt idx="24">
                  <c:v>4.7115235014037813</c:v>
                </c:pt>
                <c:pt idx="25">
                  <c:v>4.9372778816515117</c:v>
                </c:pt>
                <c:pt idx="26">
                  <c:v>5.1653759238514745</c:v>
                </c:pt>
                <c:pt idx="27">
                  <c:v>5.3958110517056364</c:v>
                </c:pt>
                <c:pt idx="28">
                  <c:v>5.6285766250084466</c:v>
                </c:pt>
                <c:pt idx="29">
                  <c:v>5.863665940523199</c:v>
                </c:pt>
                <c:pt idx="30">
                  <c:v>6.1010722328476295</c:v>
                </c:pt>
                <c:pt idx="31">
                  <c:v>6.3407886752692111</c:v>
                </c:pt>
                <c:pt idx="32">
                  <c:v>6.582808380610575</c:v>
                </c:pt>
                <c:pt idx="33">
                  <c:v>6.8271244020654622</c:v>
                </c:pt>
                <c:pt idx="34">
                  <c:v>7.0737297340255907</c:v>
                </c:pt>
                <c:pt idx="35">
                  <c:v>7.322617312898787</c:v>
                </c:pt>
                <c:pt idx="36">
                  <c:v>7.5737800179187325</c:v>
                </c:pt>
                <c:pt idx="37">
                  <c:v>7.8272106719466246</c:v>
                </c:pt>
                <c:pt idx="38">
                  <c:v>8.082902042265065</c:v>
                </c:pt>
                <c:pt idx="39">
                  <c:v>8.3408468413644439</c:v>
                </c:pt>
                <c:pt idx="40">
                  <c:v>8.6010377277220975</c:v>
                </c:pt>
                <c:pt idx="41">
                  <c:v>8.8634673065744654</c:v>
                </c:pt>
                <c:pt idx="42">
                  <c:v>9.1281281306825033</c:v>
                </c:pt>
                <c:pt idx="43">
                  <c:v>9.3950127010905504</c:v>
                </c:pt>
                <c:pt idx="44">
                  <c:v>9.6641134678788774</c:v>
                </c:pt>
                <c:pt idx="45">
                  <c:v>9.9354228309100812</c:v>
                </c:pt>
                <c:pt idx="46">
                  <c:v>10.208933140569533</c:v>
                </c:pt>
                <c:pt idx="47">
                  <c:v>10.484636698500042</c:v>
                </c:pt>
                <c:pt idx="48">
                  <c:v>10.762525758330881</c:v>
                </c:pt>
                <c:pt idx="49">
                  <c:v>11.042592526401345</c:v>
                </c:pt>
                <c:pt idx="50">
                  <c:v>11.324829162478968</c:v>
                </c:pt>
                <c:pt idx="51">
                  <c:v>11.609228499767596</c:v>
                </c:pt>
                <c:pt idx="52">
                  <c:v>11.895784766577238</c:v>
                </c:pt>
                <c:pt idx="53">
                  <c:v>12.184492869135722</c:v>
                </c:pt>
                <c:pt idx="54">
                  <c:v>12.475347672627599</c:v>
                </c:pt>
                <c:pt idx="55">
                  <c:v>12.768344001686508</c:v>
                </c:pt>
                <c:pt idx="56">
                  <c:v>13.063476640884916</c:v>
                </c:pt>
                <c:pt idx="57">
                  <c:v>13.360740335221337</c:v>
                </c:pt>
                <c:pt idx="58">
                  <c:v>13.660129790605049</c:v>
                </c:pt>
                <c:pt idx="59">
                  <c:v>13.961639674338421</c:v>
                </c:pt>
                <c:pt idx="60">
                  <c:v>14.265264615596863</c:v>
                </c:pt>
                <c:pt idx="61">
                  <c:v>14.570999205906478</c:v>
                </c:pt>
                <c:pt idx="62">
                  <c:v>14.878837999619465</c:v>
                </c:pt>
                <c:pt idx="63">
                  <c:v>15.188775514387306</c:v>
                </c:pt>
                <c:pt idx="64">
                  <c:v>15.500806231631787</c:v>
                </c:pt>
                <c:pt idx="65">
                  <c:v>15.814924597013903</c:v>
                </c:pt>
                <c:pt idx="66">
                  <c:v>16.131125020900672</c:v>
                </c:pt>
                <c:pt idx="67">
                  <c:v>16.449401878829889</c:v>
                </c:pt>
                <c:pt idx="68">
                  <c:v>16.769749511972861</c:v>
                </c:pt>
                <c:pt idx="69">
                  <c:v>17.092162227595168</c:v>
                </c:pt>
                <c:pt idx="70">
                  <c:v>17.41663429951543</c:v>
                </c:pt>
                <c:pt idx="71">
                  <c:v>17.743159968562146</c:v>
                </c:pt>
                <c:pt idx="72">
                  <c:v>18.071733443028631</c:v>
                </c:pt>
                <c:pt idx="73">
                  <c:v>18.402348899126018</c:v>
                </c:pt>
                <c:pt idx="74">
                  <c:v>18.735000481434415</c:v>
                </c:pt>
                <c:pt idx="75">
                  <c:v>19.069682303352181</c:v>
                </c:pt>
                <c:pt idx="76">
                  <c:v>19.406388447543357</c:v>
                </c:pt>
                <c:pt idx="77">
                  <c:v>19.74511296638326</c:v>
                </c:pt>
                <c:pt idx="78">
                  <c:v>20.08584988240225</c:v>
                </c:pt>
                <c:pt idx="79">
                  <c:v>20.428593188727692</c:v>
                </c:pt>
                <c:pt idx="80">
                  <c:v>20.773336849524092</c:v>
                </c:pt>
                <c:pt idx="81">
                  <c:v>21.120074800431457</c:v>
                </c:pt>
                <c:pt idx="82">
                  <c:v>21.468800949001835</c:v>
                </c:pt>
                <c:pt idx="83">
                  <c:v>21.819509175134087</c:v>
                </c:pt>
                <c:pt idx="84">
                  <c:v>22.172193331506865</c:v>
                </c:pt>
                <c:pt idx="85">
                  <c:v>22.52684724400979</c:v>
                </c:pt>
                <c:pt idx="86">
                  <c:v>22.883464712172874</c:v>
                </c:pt>
                <c:pt idx="87">
                  <c:v>23.242039509594132</c:v>
                </c:pt>
                <c:pt idx="88">
                  <c:v>23.602565384365427</c:v>
                </c:pt>
                <c:pt idx="89">
                  <c:v>23.965036059496516</c:v>
                </c:pt>
                <c:pt idx="90">
                  <c:v>24.329445233337314</c:v>
                </c:pt>
                <c:pt idx="91">
                  <c:v>24.695786579998359</c:v>
                </c:pt>
                <c:pt idx="92">
                  <c:v>25.064053749769489</c:v>
                </c:pt>
                <c:pt idx="93">
                  <c:v>25.434240369536703</c:v>
                </c:pt>
                <c:pt idx="94">
                  <c:v>25.806340043197224</c:v>
                </c:pt>
                <c:pt idx="95">
                  <c:v>26.18034635207275</c:v>
                </c:pt>
                <c:pt idx="96">
                  <c:v>26.556252855320871</c:v>
                </c:pt>
                <c:pt idx="97">
                  <c:v>26.934053090344673</c:v>
                </c:pt>
                <c:pt idx="98">
                  <c:v>27.313740573200494</c:v>
                </c:pt>
                <c:pt idx="99">
                  <c:v>27.69530879900384</c:v>
                </c:pt>
                <c:pt idx="100">
                  <c:v>28.078751242333453</c:v>
                </c:pt>
                <c:pt idx="101">
                  <c:v>28.464061013156286</c:v>
                </c:pt>
                <c:pt idx="102">
                  <c:v>28.851230512426945</c:v>
                </c:pt>
                <c:pt idx="103">
                  <c:v>29.240251777111567</c:v>
                </c:pt>
                <c:pt idx="104">
                  <c:v>29.631116825570519</c:v>
                </c:pt>
                <c:pt idx="105">
                  <c:v>30.023817658026793</c:v>
                </c:pt>
                <c:pt idx="106">
                  <c:v>30.418346257031658</c:v>
                </c:pt>
                <c:pt idx="107">
                  <c:v>30.814694587927544</c:v>
                </c:pt>
                <c:pt idx="108">
                  <c:v>31.212854599308155</c:v>
                </c:pt>
                <c:pt idx="109">
                  <c:v>31.612818223475795</c:v>
                </c:pt>
                <c:pt idx="110">
                  <c:v>32.014577376895915</c:v>
                </c:pt>
                <c:pt idx="111">
                  <c:v>32.418123960648828</c:v>
                </c:pt>
                <c:pt idx="112">
                  <c:v>32.823449860878611</c:v>
                </c:pt>
                <c:pt idx="113">
                  <c:v>33.230546949239191</c:v>
                </c:pt>
                <c:pt idx="114">
                  <c:v>33.639407083337545</c:v>
                </c:pt>
                <c:pt idx="115">
                  <c:v>34.050022107174087</c:v>
                </c:pt>
                <c:pt idx="116">
                  <c:v>34.462383851580142</c:v>
                </c:pt>
                <c:pt idx="117">
                  <c:v>34.876484134652571</c:v>
                </c:pt>
                <c:pt idx="118">
                  <c:v>35.29231476218547</c:v>
                </c:pt>
                <c:pt idx="119">
                  <c:v>35.709867528098982</c:v>
                </c:pt>
                <c:pt idx="120">
                  <c:v>36.129134214865175</c:v>
                </c:pt>
                <c:pt idx="121">
                  <c:v>36.550106593930991</c:v>
                </c:pt>
                <c:pt idx="122">
                  <c:v>36.972776426138246</c:v>
                </c:pt>
                <c:pt idx="123">
                  <c:v>37.397135462140696</c:v>
                </c:pt>
                <c:pt idx="124">
                  <c:v>37.823175442818091</c:v>
                </c:pt>
                <c:pt idx="125">
                  <c:v>38.250888099687288</c:v>
                </c:pt>
                <c:pt idx="126">
                  <c:v>38.680265155310352</c:v>
                </c:pt>
                <c:pt idx="127">
                  <c:v>39.111298323699671</c:v>
                </c:pt>
                <c:pt idx="128">
                  <c:v>39.543979310720047</c:v>
                </c:pt>
                <c:pt idx="129">
                  <c:v>39.978299814487748</c:v>
                </c:pt>
                <c:pt idx="130">
                  <c:v>40.414251525766566</c:v>
                </c:pt>
                <c:pt idx="131">
                  <c:v>40.851826128360806</c:v>
                </c:pt>
                <c:pt idx="132">
                  <c:v>41.291015299505219</c:v>
                </c:pt>
                <c:pt idx="133">
                  <c:v>41.731810710251885</c:v>
                </c:pt>
                <c:pt idx="134">
                  <c:v>42.17420402585401</c:v>
                </c:pt>
                <c:pt idx="135">
                  <c:v>42.618186906146654</c:v>
                </c:pt>
                <c:pt idx="136">
                  <c:v>43.063751005924381</c:v>
                </c:pt>
                <c:pt idx="137">
                  <c:v>43.510887975315768</c:v>
                </c:pt>
                <c:pt idx="138">
                  <c:v>43.959589460154866</c:v>
                </c:pt>
                <c:pt idx="139">
                  <c:v>44.409847102349502</c:v>
                </c:pt>
                <c:pt idx="140">
                  <c:v>44.861652540246482</c:v>
                </c:pt>
                <c:pt idx="141">
                  <c:v>45.314997408993676</c:v>
                </c:pt>
                <c:pt idx="142">
                  <c:v>45.769873340898947</c:v>
                </c:pt>
                <c:pt idx="143">
                  <c:v>46.226271965785948</c:v>
                </c:pt>
                <c:pt idx="144">
                  <c:v>46.68418491134679</c:v>
                </c:pt>
                <c:pt idx="145">
                  <c:v>47.14360380349153</c:v>
                </c:pt>
                <c:pt idx="146">
                  <c:v>47.604520266694529</c:v>
                </c:pt>
                <c:pt idx="147">
                  <c:v>48.066925924337632</c:v>
                </c:pt>
                <c:pt idx="148">
                  <c:v>48.530812399050191</c:v>
                </c:pt>
                <c:pt idx="149">
                  <c:v>48.996171313045927</c:v>
                </c:pt>
                <c:pt idx="150">
                  <c:v>49.462994288456606</c:v>
                </c:pt>
                <c:pt idx="151">
                  <c:v>49.93127306867855</c:v>
                </c:pt>
                <c:pt idx="152">
                  <c:v>50.400999639694113</c:v>
                </c:pt>
                <c:pt idx="153">
                  <c:v>50.872166109089392</c:v>
                </c:pt>
                <c:pt idx="154">
                  <c:v>51.344764585081215</c:v>
                </c:pt>
                <c:pt idx="155">
                  <c:v>51.818787176816194</c:v>
                </c:pt>
                <c:pt idx="156">
                  <c:v>52.294225994666931</c:v>
                </c:pt>
                <c:pt idx="157">
                  <c:v>52.771073150525311</c:v>
                </c:pt>
                <c:pt idx="158">
                  <c:v>53.249320758092928</c:v>
                </c:pt>
                <c:pt idx="159">
                  <c:v>53.728960933168594</c:v>
                </c:pt>
                <c:pt idx="160">
                  <c:v>54.209985793933001</c:v>
                </c:pt>
                <c:pt idx="161">
                  <c:v>54.692387461230474</c:v>
                </c:pt>
                <c:pt idx="162">
                  <c:v>55.176158058847832</c:v>
                </c:pt>
                <c:pt idx="163">
                  <c:v>55.661289713790374</c:v>
                </c:pt>
                <c:pt idx="164">
                  <c:v>56.147774556554978</c:v>
                </c:pt>
                <c:pt idx="165">
                  <c:v>56.635604721400306</c:v>
                </c:pt>
                <c:pt idx="166">
                  <c:v>57.124772346614144</c:v>
                </c:pt>
                <c:pt idx="167">
                  <c:v>57.615269574777827</c:v>
                </c:pt>
                <c:pt idx="168">
                  <c:v>58.107088553027822</c:v>
                </c:pt>
                <c:pt idx="169">
                  <c:v>58.60022143331441</c:v>
                </c:pt>
                <c:pt idx="170">
                  <c:v>59.094660372657486</c:v>
                </c:pt>
                <c:pt idx="171">
                  <c:v>59.590397533399532</c:v>
                </c:pt>
                <c:pt idx="172">
                  <c:v>60.087425083455656</c:v>
                </c:pt>
                <c:pt idx="173">
                  <c:v>60.585735196560812</c:v>
                </c:pt>
                <c:pt idx="174">
                  <c:v>61.085320052514142</c:v>
                </c:pt>
                <c:pt idx="175">
                  <c:v>61.58617183742048</c:v>
                </c:pt>
                <c:pt idx="176">
                  <c:v>62.088282743928971</c:v>
                </c:pt>
                <c:pt idx="177">
                  <c:v>62.591644971468867</c:v>
                </c:pt>
                <c:pt idx="178">
                  <c:v>63.096250726482474</c:v>
                </c:pt>
                <c:pt idx="179">
                  <c:v>63.602092222655259</c:v>
                </c:pt>
                <c:pt idx="180">
                  <c:v>64.109161681143135</c:v>
                </c:pt>
                <c:pt idx="181">
                  <c:v>64.617451330796925</c:v>
                </c:pt>
                <c:pt idx="182">
                  <c:v>65.126953408383955</c:v>
                </c:pt>
                <c:pt idx="183">
                  <c:v>65.637660158806938</c:v>
                </c:pt>
                <c:pt idx="184">
                  <c:v>66.149563835319938</c:v>
                </c:pt>
                <c:pt idx="185">
                  <c:v>66.662656699741632</c:v>
                </c:pt>
                <c:pt idx="186">
                  <c:v>67.176931022665698</c:v>
                </c:pt>
                <c:pt idx="187">
                  <c:v>67.692379083668499</c:v>
                </c:pt>
                <c:pt idx="188">
                  <c:v>68.208993171513939</c:v>
                </c:pt>
                <c:pt idx="189">
                  <c:v>68.726765584355562</c:v>
                </c:pt>
                <c:pt idx="190">
                  <c:v>69.245688629935927</c:v>
                </c:pt>
                <c:pt idx="191">
                  <c:v>69.76575462578316</c:v>
                </c:pt>
                <c:pt idx="192">
                  <c:v>70.286955899404859</c:v>
                </c:pt>
                <c:pt idx="193">
                  <c:v>70.809284788479204</c:v>
                </c:pt>
                <c:pt idx="194">
                  <c:v>71.332733641043347</c:v>
                </c:pt>
                <c:pt idx="195">
                  <c:v>71.857294815679126</c:v>
                </c:pt>
                <c:pt idx="196">
                  <c:v>72.382960681696062</c:v>
                </c:pt>
                <c:pt idx="197">
                  <c:v>72.909723619311634</c:v>
                </c:pt>
                <c:pt idx="198">
                  <c:v>73.437576019828938</c:v>
                </c:pt>
                <c:pt idx="199">
                  <c:v>73.966510285811594</c:v>
                </c:pt>
                <c:pt idx="200">
                  <c:v>74.496518831256083</c:v>
                </c:pt>
                <c:pt idx="201">
                  <c:v>75.02759408176135</c:v>
                </c:pt>
                <c:pt idx="202">
                  <c:v>75.559728474695845</c:v>
                </c:pt>
                <c:pt idx="203">
                  <c:v>76.092914459361893</c:v>
                </c:pt>
                <c:pt idx="204">
                  <c:v>76.62714449715746</c:v>
                </c:pt>
                <c:pt idx="205">
                  <c:v>77.162411061735298</c:v>
                </c:pt>
                <c:pt idx="206">
                  <c:v>77.698706639159568</c:v>
                </c:pt>
                <c:pt idx="207">
                  <c:v>78.23602372805982</c:v>
                </c:pt>
                <c:pt idx="208">
                  <c:v>78.774354839782418</c:v>
                </c:pt>
                <c:pt idx="209">
                  <c:v>79.313692498539453</c:v>
                </c:pt>
                <c:pt idx="210">
                  <c:v>79.854029241555054</c:v>
                </c:pt>
                <c:pt idx="211">
                  <c:v>80.395357619209236</c:v>
                </c:pt>
                <c:pt idx="212">
                  <c:v>80.937670195179209</c:v>
                </c:pt>
                <c:pt idx="213">
                  <c:v>81.480959546578177</c:v>
                </c:pt>
                <c:pt idx="214">
                  <c:v>82.025218264091663</c:v>
                </c:pt>
                <c:pt idx="215">
                  <c:v>82.570438952111374</c:v>
                </c:pt>
                <c:pt idx="216">
                  <c:v>83.116614228866595</c:v>
                </c:pt>
                <c:pt idx="217">
                  <c:v>83.663736726553097</c:v>
                </c:pt>
                <c:pt idx="218">
                  <c:v>84.211799091459739</c:v>
                </c:pt>
                <c:pt idx="219">
                  <c:v>84.760793984092501</c:v>
                </c:pt>
                <c:pt idx="220">
                  <c:v>85.310714079296247</c:v>
                </c:pt>
                <c:pt idx="221">
                  <c:v>85.861552066373989</c:v>
                </c:pt>
                <c:pt idx="222">
                  <c:v>86.41330064920389</c:v>
                </c:pt>
                <c:pt idx="223">
                  <c:v>86.965952546353819</c:v>
                </c:pt>
                <c:pt idx="224">
                  <c:v>87.519500491193611</c:v>
                </c:pt>
                <c:pt idx="225">
                  <c:v>88.073937232004994</c:v>
                </c:pt>
                <c:pt idx="226">
                  <c:v>88.629255532089218</c:v>
                </c:pt>
                <c:pt idx="227">
                  <c:v>89.185448169872316</c:v>
                </c:pt>
                <c:pt idx="228">
                  <c:v>89.74250793900822</c:v>
                </c:pt>
                <c:pt idx="229">
                  <c:v>90.300427648479456</c:v>
                </c:pt>
                <c:pt idx="230">
                  <c:v>90.859200122695711</c:v>
                </c:pt>
                <c:pt idx="231">
                  <c:v>91.418818201590099</c:v>
                </c:pt>
                <c:pt idx="232">
                  <c:v>91.979274740713237</c:v>
                </c:pt>
                <c:pt idx="233">
                  <c:v>92.540562611325129</c:v>
                </c:pt>
                <c:pt idx="234">
                  <c:v>93.102674700484798</c:v>
                </c:pt>
                <c:pt idx="235">
                  <c:v>93.66560391113785</c:v>
                </c:pt>
                <c:pt idx="236">
                  <c:v>94.229343162201786</c:v>
                </c:pt>
                <c:pt idx="237">
                  <c:v>94.793885388649258</c:v>
                </c:pt>
                <c:pt idx="238">
                  <c:v>95.359223541589131</c:v>
                </c:pt>
                <c:pt idx="239">
                  <c:v>95.925350588345495</c:v>
                </c:pt>
                <c:pt idx="240">
                  <c:v>96.492259512534545</c:v>
                </c:pt>
                <c:pt idx="241">
                  <c:v>97.059943314139431</c:v>
                </c:pt>
                <c:pt idx="242">
                  <c:v>97.628395009583031</c:v>
                </c:pt>
                <c:pt idx="243">
                  <c:v>98.197607631798647</c:v>
                </c:pt>
                <c:pt idx="244">
                  <c:v>98.767574230298763</c:v>
                </c:pt>
                <c:pt idx="245">
                  <c:v>99.33828787124169</c:v>
                </c:pt>
                <c:pt idx="246">
                  <c:v>99.909741637496339</c:v>
                </c:pt>
                <c:pt idx="247">
                  <c:v>100.48192862870492</c:v>
                </c:pt>
                <c:pt idx="248">
                  <c:v>101.05484196134373</c:v>
                </c:pt>
                <c:pt idx="249">
                  <c:v>101.62847476878197</c:v>
                </c:pt>
                <c:pt idx="250">
                  <c:v>102.20282020133872</c:v>
                </c:pt>
                <c:pt idx="251">
                  <c:v>102.77787087524932</c:v>
                </c:pt>
                <c:pt idx="252">
                  <c:v>103.35361832254701</c:v>
                </c:pt>
                <c:pt idx="253">
                  <c:v>103.93005354495645</c:v>
                </c:pt>
                <c:pt idx="254">
                  <c:v>104.50716756688264</c:v>
                </c:pt>
                <c:pt idx="255">
                  <c:v>105.0849514354868</c:v>
                </c:pt>
                <c:pt idx="256">
                  <c:v>105.66339622075913</c:v>
                </c:pt>
                <c:pt idx="257">
                  <c:v>106.24249301558872</c:v>
                </c:pt>
                <c:pt idx="258">
                  <c:v>106.8222329358305</c:v>
                </c:pt>
                <c:pt idx="259">
                  <c:v>107.40260712036921</c:v>
                </c:pt>
                <c:pt idx="260">
                  <c:v>107.98360673118054</c:v>
                </c:pt>
                <c:pt idx="261">
                  <c:v>108.56522295338941</c:v>
                </c:pt>
                <c:pt idx="262">
                  <c:v>109.14744699532541</c:v>
                </c:pt>
                <c:pt idx="263">
                  <c:v>109.73027008857542</c:v>
                </c:pt>
                <c:pt idx="264">
                  <c:v>110.31368348803355</c:v>
                </c:pt>
                <c:pt idx="265">
                  <c:v>110.89767847194815</c:v>
                </c:pt>
                <c:pt idx="266">
                  <c:v>111.48224634196639</c:v>
                </c:pt>
                <c:pt idx="267">
                  <c:v>112.06737842317584</c:v>
                </c:pt>
                <c:pt idx="268">
                  <c:v>112.65306606414362</c:v>
                </c:pt>
                <c:pt idx="269">
                  <c:v>113.23930063695283</c:v>
                </c:pt>
                <c:pt idx="270">
                  <c:v>113.82607353723641</c:v>
                </c:pt>
                <c:pt idx="271">
                  <c:v>114.41337618420836</c:v>
                </c:pt>
                <c:pt idx="272">
                  <c:v>115.00120002069251</c:v>
                </c:pt>
                <c:pt idx="273">
                  <c:v>115.58953651314872</c:v>
                </c:pt>
                <c:pt idx="274">
                  <c:v>116.17837715169658</c:v>
                </c:pt>
                <c:pt idx="275">
                  <c:v>116.76771345013671</c:v>
                </c:pt>
                <c:pt idx="276">
                  <c:v>117.35753694596956</c:v>
                </c:pt>
                <c:pt idx="277">
                  <c:v>117.94783920041182</c:v>
                </c:pt>
                <c:pt idx="278">
                  <c:v>118.5386117984105</c:v>
                </c:pt>
                <c:pt idx="279">
                  <c:v>119.12984634865461</c:v>
                </c:pt>
                <c:pt idx="280">
                  <c:v>119.72153448358452</c:v>
                </c:pt>
                <c:pt idx="281">
                  <c:v>120.31366785939908</c:v>
                </c:pt>
                <c:pt idx="282">
                  <c:v>120.90623815606037</c:v>
                </c:pt>
                <c:pt idx="283">
                  <c:v>121.49923707729636</c:v>
                </c:pt>
                <c:pt idx="284">
                  <c:v>122.09265635060119</c:v>
                </c:pt>
                <c:pt idx="285">
                  <c:v>122.6864877272334</c:v>
                </c:pt>
                <c:pt idx="286">
                  <c:v>123.28072298221193</c:v>
                </c:pt>
                <c:pt idx="287">
                  <c:v>123.87535391430998</c:v>
                </c:pt>
                <c:pt idx="288">
                  <c:v>124.47037234604686</c:v>
                </c:pt>
                <c:pt idx="289">
                  <c:v>125.06577012367762</c:v>
                </c:pt>
                <c:pt idx="290">
                  <c:v>125.66153911718078</c:v>
                </c:pt>
                <c:pt idx="291">
                  <c:v>126.25767122024385</c:v>
                </c:pt>
                <c:pt idx="292">
                  <c:v>126.85415835024708</c:v>
                </c:pt>
                <c:pt idx="293">
                  <c:v>127.45099244824502</c:v>
                </c:pt>
                <c:pt idx="294">
                  <c:v>128.04816547894629</c:v>
                </c:pt>
                <c:pt idx="295">
                  <c:v>128.64566943069133</c:v>
                </c:pt>
                <c:pt idx="296">
                  <c:v>129.24349631542833</c:v>
                </c:pt>
                <c:pt idx="297">
                  <c:v>129.84163816868721</c:v>
                </c:pt>
                <c:pt idx="298">
                  <c:v>130.44008086371898</c:v>
                </c:pt>
                <c:pt idx="299">
                  <c:v>131.03879793933558</c:v>
                </c:pt>
                <c:pt idx="300">
                  <c:v>131.63775682226373</c:v>
                </c:pt>
                <c:pt idx="301">
                  <c:v>132.2369250360303</c:v>
                </c:pt>
                <c:pt idx="302">
                  <c:v>132.83627020138366</c:v>
                </c:pt>
                <c:pt idx="303">
                  <c:v>133.43576003668338</c:v>
                </c:pt>
                <c:pt idx="304">
                  <c:v>134.03536235825871</c:v>
                </c:pt>
                <c:pt idx="305">
                  <c:v>134.63504508073632</c:v>
                </c:pt>
                <c:pt idx="306">
                  <c:v>135.23477621733744</c:v>
                </c:pt>
                <c:pt idx="307">
                  <c:v>135.8345238801451</c:v>
                </c:pt>
                <c:pt idx="308">
                  <c:v>136.43425628034151</c:v>
                </c:pt>
                <c:pt idx="309">
                  <c:v>137.03394172841629</c:v>
                </c:pt>
                <c:pt idx="310">
                  <c:v>137.63354863434563</c:v>
                </c:pt>
                <c:pt idx="311">
                  <c:v>138.23304550774296</c:v>
                </c:pt>
                <c:pt idx="312">
                  <c:v>138.83240095798158</c:v>
                </c:pt>
                <c:pt idx="313">
                  <c:v>139.43158369428932</c:v>
                </c:pt>
                <c:pt idx="314">
                  <c:v>140.03056252581587</c:v>
                </c:pt>
                <c:pt idx="315">
                  <c:v>140.62930636167317</c:v>
                </c:pt>
                <c:pt idx="316">
                  <c:v>141.22778421094912</c:v>
                </c:pt>
                <c:pt idx="317">
                  <c:v>141.82596518269497</c:v>
                </c:pt>
                <c:pt idx="318">
                  <c:v>142.42381848588687</c:v>
                </c:pt>
                <c:pt idx="319">
                  <c:v>143.02131342936195</c:v>
                </c:pt>
                <c:pt idx="320">
                  <c:v>143.61841942172927</c:v>
                </c:pt>
                <c:pt idx="321">
                  <c:v>144.21510845529045</c:v>
                </c:pt>
                <c:pt idx="322">
                  <c:v>144.81135758267556</c:v>
                </c:pt>
                <c:pt idx="323">
                  <c:v>145.40714641543087</c:v>
                </c:pt>
                <c:pt idx="324">
                  <c:v>146.00245462980794</c:v>
                </c:pt>
                <c:pt idx="325">
                  <c:v>146.59726196649038</c:v>
                </c:pt>
                <c:pt idx="326">
                  <c:v>147.19154823031158</c:v>
                </c:pt>
                <c:pt idx="327">
                  <c:v>147.78529328996345</c:v>
                </c:pt>
                <c:pt idx="328">
                  <c:v>148.3784770776962</c:v>
                </c:pt>
                <c:pt idx="329">
                  <c:v>148.97107958900966</c:v>
                </c:pt>
                <c:pt idx="330">
                  <c:v>149.56308088233581</c:v>
                </c:pt>
                <c:pt idx="331">
                  <c:v>150.15446107871313</c:v>
                </c:pt>
                <c:pt idx="332">
                  <c:v>150.74520036145253</c:v>
                </c:pt>
                <c:pt idx="333">
                  <c:v>151.33527897579535</c:v>
                </c:pt>
                <c:pt idx="334">
                  <c:v>151.92467722856327</c:v>
                </c:pt>
                <c:pt idx="335">
                  <c:v>152.51337548780054</c:v>
                </c:pt>
                <c:pt idx="336">
                  <c:v>153.10135418240833</c:v>
                </c:pt>
                <c:pt idx="337">
                  <c:v>153.68859380177176</c:v>
                </c:pt>
                <c:pt idx="338">
                  <c:v>154.27507489537939</c:v>
                </c:pt>
                <c:pt idx="339">
                  <c:v>154.86077807243544</c:v>
                </c:pt>
                <c:pt idx="340">
                  <c:v>155.44568400146488</c:v>
                </c:pt>
                <c:pt idx="341">
                  <c:v>156.0297734099116</c:v>
                </c:pt>
                <c:pt idx="342">
                  <c:v>156.61302708372946</c:v>
                </c:pt>
                <c:pt idx="343">
                  <c:v>157.19542586696684</c:v>
                </c:pt>
                <c:pt idx="344">
                  <c:v>157.7769506613443</c:v>
                </c:pt>
                <c:pt idx="345">
                  <c:v>158.35758242582591</c:v>
                </c:pt>
                <c:pt idx="346">
                  <c:v>158.93730217618403</c:v>
                </c:pt>
                <c:pt idx="347">
                  <c:v>159.51609098455785</c:v>
                </c:pt>
                <c:pt idx="348">
                  <c:v>160.09393024960306</c:v>
                </c:pt>
                <c:pt idx="349">
                  <c:v>160.67080196574881</c:v>
                </c:pt>
                <c:pt idx="350">
                  <c:v>161.24668845015864</c:v>
                </c:pt>
                <c:pt idx="351">
                  <c:v>161.82157207058117</c:v>
                </c:pt>
                <c:pt idx="352">
                  <c:v>162.39543524489628</c:v>
                </c:pt>
                <c:pt idx="353">
                  <c:v>162.96826044065688</c:v>
                </c:pt>
                <c:pt idx="354">
                  <c:v>163.54003017462577</c:v>
                </c:pt>
                <c:pt idx="355">
                  <c:v>164.11072701230799</c:v>
                </c:pt>
                <c:pt idx="356">
                  <c:v>164.68033356747861</c:v>
                </c:pt>
                <c:pt idx="357">
                  <c:v>165.24883250170618</c:v>
                </c:pt>
                <c:pt idx="358">
                  <c:v>165.81620652387161</c:v>
                </c:pt>
                <c:pt idx="359">
                  <c:v>166.38243838968299</c:v>
                </c:pt>
                <c:pt idx="360">
                  <c:v>166.9475165523227</c:v>
                </c:pt>
                <c:pt idx="361">
                  <c:v>167.5114407941424</c:v>
                </c:pt>
                <c:pt idx="362">
                  <c:v>168.07421653354444</c:v>
                </c:pt>
                <c:pt idx="363">
                  <c:v>168.63584915123621</c:v>
                </c:pt>
                <c:pt idx="364">
                  <c:v>169.19634399058282</c:v>
                </c:pt>
                <c:pt idx="365">
                  <c:v>169.75570635795563</c:v>
                </c:pt>
                <c:pt idx="366">
                  <c:v>170.31394152307675</c:v>
                </c:pt>
                <c:pt idx="367">
                  <c:v>170.87105471935945</c:v>
                </c:pt>
                <c:pt idx="368">
                  <c:v>171.42705114424461</c:v>
                </c:pt>
                <c:pt idx="369">
                  <c:v>171.98193595953339</c:v>
                </c:pt>
                <c:pt idx="370">
                  <c:v>172.53571429171581</c:v>
                </c:pt>
                <c:pt idx="371">
                  <c:v>173.08839123229578</c:v>
                </c:pt>
                <c:pt idx="372">
                  <c:v>173.63997183811225</c:v>
                </c:pt>
                <c:pt idx="373">
                  <c:v>174.19046113165663</c:v>
                </c:pt>
                <c:pt idx="374">
                  <c:v>174.7398641013867</c:v>
                </c:pt>
                <c:pt idx="375">
                  <c:v>175.28818570203677</c:v>
                </c:pt>
                <c:pt idx="376">
                  <c:v>175.83543085492445</c:v>
                </c:pt>
                <c:pt idx="377">
                  <c:v>176.3816044482538</c:v>
                </c:pt>
                <c:pt idx="378">
                  <c:v>176.9267113374151</c:v>
                </c:pt>
                <c:pt idx="379">
                  <c:v>177.47075634528122</c:v>
                </c:pt>
                <c:pt idx="380">
                  <c:v>178.01374426250058</c:v>
                </c:pt>
                <c:pt idx="381">
                  <c:v>178.55567984778685</c:v>
                </c:pt>
                <c:pt idx="382">
                  <c:v>179.09656782820542</c:v>
                </c:pt>
                <c:pt idx="383">
                  <c:v>179.63641289945653</c:v>
                </c:pt>
                <c:pt idx="384">
                  <c:v>180.17521972615538</c:v>
                </c:pt>
                <c:pt idx="385">
                  <c:v>180.71299294210894</c:v>
                </c:pt>
                <c:pt idx="386">
                  <c:v>181.24973715058985</c:v>
                </c:pt>
                <c:pt idx="387">
                  <c:v>181.7854569246071</c:v>
                </c:pt>
                <c:pt idx="388">
                  <c:v>182.32015680717384</c:v>
                </c:pt>
                <c:pt idx="389">
                  <c:v>182.85384131157213</c:v>
                </c:pt>
                <c:pt idx="390">
                  <c:v>183.38651492161472</c:v>
                </c:pt>
                <c:pt idx="391">
                  <c:v>183.91818209190416</c:v>
                </c:pt>
                <c:pt idx="392">
                  <c:v>184.44884724808881</c:v>
                </c:pt>
                <c:pt idx="393">
                  <c:v>184.97851478711613</c:v>
                </c:pt>
                <c:pt idx="394">
                  <c:v>185.50718907748322</c:v>
                </c:pt>
                <c:pt idx="395">
                  <c:v>186.0348744594846</c:v>
                </c:pt>
                <c:pt idx="396">
                  <c:v>186.56157524545731</c:v>
                </c:pt>
                <c:pt idx="397">
                  <c:v>187.08729572002323</c:v>
                </c:pt>
                <c:pt idx="398">
                  <c:v>187.61204014032896</c:v>
                </c:pt>
                <c:pt idx="399">
                  <c:v>188.13581273628287</c:v>
                </c:pt>
                <c:pt idx="400">
                  <c:v>188.65861771078985</c:v>
                </c:pt>
                <c:pt idx="401">
                  <c:v>193.8337716267321</c:v>
                </c:pt>
                <c:pt idx="402">
                  <c:v>198.91483405966113</c:v>
                </c:pt>
                <c:pt idx="403">
                  <c:v>203.90576853679144</c:v>
                </c:pt>
                <c:pt idx="404">
                  <c:v>208.81029635279913</c:v>
                </c:pt>
                <c:pt idx="405">
                  <c:v>213.63191621488454</c:v>
                </c:pt>
                <c:pt idx="406">
                  <c:v>218.37392192157543</c:v>
                </c:pt>
                <c:pt idx="407">
                  <c:v>223.03941830813383</c:v>
                </c:pt>
                <c:pt idx="408">
                  <c:v>227.63133565974019</c:v>
                </c:pt>
                <c:pt idx="409">
                  <c:v>232.1524427667911</c:v>
                </c:pt>
                <c:pt idx="410">
                  <c:v>236.60535877383842</c:v>
                </c:pt>
                <c:pt idx="411">
                  <c:v>240.99256395424749</c:v>
                </c:pt>
                <c:pt idx="412">
                  <c:v>245.31640952601444</c:v>
                </c:pt>
                <c:pt idx="413">
                  <c:v>249.57912660990539</c:v>
                </c:pt>
                <c:pt idx="414">
                  <c:v>253.78283441879188</c:v>
                </c:pt>
                <c:pt idx="415">
                  <c:v>257.92954775645194</c:v>
                </c:pt>
                <c:pt idx="416">
                  <c:v>262.02118389492745</c:v>
                </c:pt>
                <c:pt idx="417">
                  <c:v>266.05956889156272</c:v>
                </c:pt>
                <c:pt idx="418">
                  <c:v>270.04644339992109</c:v>
                </c:pt>
                <c:pt idx="419">
                  <c:v>273.98346802273238</c:v>
                </c:pt>
                <c:pt idx="420">
                  <c:v>277.87222824974191</c:v>
                </c:pt>
                <c:pt idx="421">
                  <c:v>281.71423901870298</c:v>
                </c:pt>
                <c:pt idx="422">
                  <c:v>285.51094893369117</c:v>
                </c:pt>
                <c:pt idx="423">
                  <c:v>289.26374417134065</c:v>
                </c:pt>
                <c:pt idx="424">
                  <c:v>292.97395210245105</c:v>
                </c:pt>
                <c:pt idx="425">
                  <c:v>296.64284465362476</c:v>
                </c:pt>
                <c:pt idx="426">
                  <c:v>300.27164143112867</c:v>
                </c:pt>
                <c:pt idx="427">
                  <c:v>303.86151262698638</c:v>
                </c:pt>
                <c:pt idx="428">
                  <c:v>307.41358172536161</c:v>
                </c:pt>
                <c:pt idx="429">
                  <c:v>310.92892802556429</c:v>
                </c:pt>
                <c:pt idx="430">
                  <c:v>314.40858899646622</c:v>
                </c:pt>
                <c:pt idx="431">
                  <c:v>317.85356247573594</c:v>
                </c:pt>
                <c:pt idx="432">
                  <c:v>321.26480872606925</c:v>
                </c:pt>
                <c:pt idx="433">
                  <c:v>324.64325235948638</c:v>
                </c:pt>
                <c:pt idx="434">
                  <c:v>327.98978413977642</c:v>
                </c:pt>
                <c:pt idx="435">
                  <c:v>331.30526267227782</c:v>
                </c:pt>
                <c:pt idx="436">
                  <c:v>334.59051598938242</c:v>
                </c:pt>
                <c:pt idx="437">
                  <c:v>337.84634303942761</c:v>
                </c:pt>
                <c:pt idx="438">
                  <c:v>341.07351508598862</c:v>
                </c:pt>
                <c:pt idx="439">
                  <c:v>344.27277702399419</c:v>
                </c:pt>
                <c:pt idx="440">
                  <c:v>347.44484861855494</c:v>
                </c:pt>
                <c:pt idx="441">
                  <c:v>350.5904256719104</c:v>
                </c:pt>
                <c:pt idx="442">
                  <c:v>353.71018112346286</c:v>
                </c:pt>
                <c:pt idx="443">
                  <c:v>356.80476608746721</c:v>
                </c:pt>
                <c:pt idx="444">
                  <c:v>359.87481083258456</c:v>
                </c:pt>
                <c:pt idx="445">
                  <c:v>362.92092570717722</c:v>
                </c:pt>
                <c:pt idx="446">
                  <c:v>365.94370201392212</c:v>
                </c:pt>
                <c:pt idx="447">
                  <c:v>368.94371283704646</c:v>
                </c:pt>
                <c:pt idx="448">
                  <c:v>371.92151382523747</c:v>
                </c:pt>
                <c:pt idx="449">
                  <c:v>374.87764393305048</c:v>
                </c:pt>
                <c:pt idx="450">
                  <c:v>377.81262612342937</c:v>
                </c:pt>
                <c:pt idx="451">
                  <c:v>380.72696803376095</c:v>
                </c:pt>
                <c:pt idx="452">
                  <c:v>383.62116260770938</c:v>
                </c:pt>
                <c:pt idx="453">
                  <c:v>386.49568869491441</c:v>
                </c:pt>
                <c:pt idx="454">
                  <c:v>389.3510116204888</c:v>
                </c:pt>
                <c:pt idx="455">
                  <c:v>392.1875837261133</c:v>
                </c:pt>
                <c:pt idx="456">
                  <c:v>395.00584488440177</c:v>
                </c:pt>
                <c:pt idx="457">
                  <c:v>397.80622298809237</c:v>
                </c:pt>
                <c:pt idx="458">
                  <c:v>400.58913441551471</c:v>
                </c:pt>
                <c:pt idx="459">
                  <c:v>403.35498447368252</c:v>
                </c:pt>
                <c:pt idx="460">
                  <c:v>406.10416782027096</c:v>
                </c:pt>
                <c:pt idx="461">
                  <c:v>408.83706886565216</c:v>
                </c:pt>
                <c:pt idx="462">
                  <c:v>411.55406215608525</c:v>
                </c:pt>
                <c:pt idx="463">
                  <c:v>414.25551273908303</c:v>
                </c:pt>
                <c:pt idx="464">
                  <c:v>416.94177651191114</c:v>
                </c:pt>
                <c:pt idx="465">
                  <c:v>419.61320055411221</c:v>
                </c:pt>
                <c:pt idx="466">
                  <c:v>422.27012344488901</c:v>
                </c:pt>
                <c:pt idx="467">
                  <c:v>424.91287556612684</c:v>
                </c:pt>
                <c:pt idx="468">
                  <c:v>427.54177939178413</c:v>
                </c:pt>
                <c:pt idx="469">
                  <c:v>430.15714976433298</c:v>
                </c:pt>
                <c:pt idx="470">
                  <c:v>432.75929415888766</c:v>
                </c:pt>
                <c:pt idx="471">
                  <c:v>435.3485129356165</c:v>
                </c:pt>
                <c:pt idx="472">
                  <c:v>437.92509958099544</c:v>
                </c:pt>
                <c:pt idx="473">
                  <c:v>440.48934093842291</c:v>
                </c:pt>
                <c:pt idx="474">
                  <c:v>443.04151742868299</c:v>
                </c:pt>
                <c:pt idx="475">
                  <c:v>445.58190326071082</c:v>
                </c:pt>
                <c:pt idx="476">
                  <c:v>448.1107666330833</c:v>
                </c:pt>
                <c:pt idx="477">
                  <c:v>450.62836992662949</c:v>
                </c:pt>
                <c:pt idx="478">
                  <c:v>453.13496988852711</c:v>
                </c:pt>
                <c:pt idx="479">
                  <c:v>455.63081780822574</c:v>
                </c:pt>
                <c:pt idx="480">
                  <c:v>458.116159685512</c:v>
                </c:pt>
                <c:pt idx="481">
                  <c:v>460.59123639100744</c:v>
                </c:pt>
                <c:pt idx="482">
                  <c:v>463.05628381936731</c:v>
                </c:pt>
                <c:pt idx="483">
                  <c:v>465.51153303542571</c:v>
                </c:pt>
                <c:pt idx="484">
                  <c:v>467.95721041351044</c:v>
                </c:pt>
                <c:pt idx="485">
                  <c:v>470.39353777013048</c:v>
                </c:pt>
                <c:pt idx="486">
                  <c:v>472.82073249021715</c:v>
                </c:pt>
                <c:pt idx="487">
                  <c:v>475.23900764708031</c:v>
                </c:pt>
                <c:pt idx="488">
                  <c:v>477.64857211622046</c:v>
                </c:pt>
                <c:pt idx="489">
                  <c:v>480.04963068311662</c:v>
                </c:pt>
                <c:pt idx="490">
                  <c:v>482.44238414509107</c:v>
                </c:pt>
                <c:pt idx="491">
                  <c:v>484.82702940732992</c:v>
                </c:pt>
                <c:pt idx="492">
                  <c:v>487.20375957311938</c:v>
                </c:pt>
                <c:pt idx="493">
                  <c:v>489.57276402833526</c:v>
                </c:pt>
                <c:pt idx="494">
                  <c:v>491.93422852020302</c:v>
                </c:pt>
                <c:pt idx="495">
                  <c:v>494.28833523032262</c:v>
                </c:pt>
                <c:pt idx="496">
                  <c:v>496.63526284193057</c:v>
                </c:pt>
                <c:pt idx="497">
                  <c:v>498.97518660134756</c:v>
                </c:pt>
                <c:pt idx="498">
                  <c:v>501.30827837353661</c:v>
                </c:pt>
                <c:pt idx="499">
                  <c:v>503.63470669167049</c:v>
                </c:pt>
                <c:pt idx="500">
                  <c:v>505.95463680058253</c:v>
                </c:pt>
                <c:pt idx="501">
                  <c:v>508.26823069394743</c:v>
                </c:pt>
                <c:pt idx="502">
                  <c:v>510.57564714501058</c:v>
                </c:pt>
                <c:pt idx="503">
                  <c:v>512.87704173065731</c:v>
                </c:pt>
                <c:pt idx="504">
                  <c:v>515.17256684858319</c:v>
                </c:pt>
                <c:pt idx="505">
                  <c:v>517.46237172729877</c:v>
                </c:pt>
                <c:pt idx="506">
                  <c:v>519.74660242867162</c:v>
                </c:pt>
                <c:pt idx="507">
                  <c:v>522.02540184268253</c:v>
                </c:pt>
                <c:pt idx="508">
                  <c:v>524.29890967404435</c:v>
                </c:pt>
                <c:pt idx="509">
                  <c:v>526.56726242030879</c:v>
                </c:pt>
                <c:pt idx="510">
                  <c:v>528.83059334106736</c:v>
                </c:pt>
                <c:pt idx="511">
                  <c:v>531.0890324178373</c:v>
                </c:pt>
                <c:pt idx="512">
                  <c:v>533.34270630421827</c:v>
                </c:pt>
                <c:pt idx="513">
                  <c:v>535.59173826590904</c:v>
                </c:pt>
                <c:pt idx="514">
                  <c:v>537.8362481101924</c:v>
                </c:pt>
                <c:pt idx="515">
                  <c:v>540.07635210453145</c:v>
                </c:pt>
                <c:pt idx="516">
                  <c:v>542.31216288397877</c:v>
                </c:pt>
                <c:pt idx="517">
                  <c:v>544.5437893471842</c:v>
                </c:pt>
                <c:pt idx="518">
                  <c:v>546.77133654090494</c:v>
                </c:pt>
                <c:pt idx="519">
                  <c:v>548.99490553307578</c:v>
                </c:pt>
                <c:pt idx="520">
                  <c:v>551.21459327469768</c:v>
                </c:pt>
                <c:pt idx="521">
                  <c:v>553.43049245105067</c:v>
                </c:pt>
                <c:pt idx="522">
                  <c:v>555.6426913230365</c:v>
                </c:pt>
                <c:pt idx="523">
                  <c:v>557.85127355981263</c:v>
                </c:pt>
                <c:pt idx="524">
                  <c:v>560.05631806428255</c:v>
                </c:pt>
                <c:pt idx="525">
                  <c:v>562.25789879346155</c:v>
                </c:pt>
                <c:pt idx="526">
                  <c:v>564.45608457621586</c:v>
                </c:pt>
                <c:pt idx="527">
                  <c:v>566.65093893137293</c:v>
                </c:pt>
                <c:pt idx="528">
                  <c:v>568.84251988967662</c:v>
                </c:pt>
                <c:pt idx="529">
                  <c:v>571.0308798234945</c:v>
                </c:pt>
                <c:pt idx="530">
                  <c:v>573.21606528852476</c:v>
                </c:pt>
                <c:pt idx="531">
                  <c:v>575.39811688195857</c:v>
                </c:pt>
                <c:pt idx="532">
                  <c:v>577.57706912159017</c:v>
                </c:pt>
                <c:pt idx="533">
                  <c:v>579.75295035019542</c:v>
                </c:pt>
                <c:pt idx="534">
                  <c:v>581.92578266910311</c:v>
                </c:pt>
                <c:pt idx="535">
                  <c:v>584.09558190425594</c:v>
                </c:pt>
                <c:pt idx="536">
                  <c:v>586.2623576072275</c:v>
                </c:pt>
                <c:pt idx="537">
                  <c:v>588.42611309266033</c:v>
                </c:pt>
                <c:pt idx="538">
                  <c:v>590.58684551249155</c:v>
                </c:pt>
                <c:pt idx="539">
                  <c:v>592.74454596620171</c:v>
                </c:pt>
                <c:pt idx="540">
                  <c:v>594.89919964524324</c:v>
                </c:pt>
                <c:pt idx="541">
                  <c:v>597.05078600884713</c:v>
                </c:pt>
                <c:pt idx="542">
                  <c:v>599.19927898762967</c:v>
                </c:pt>
                <c:pt idx="543">
                  <c:v>601.3446472108634</c:v>
                </c:pt>
                <c:pt idx="544">
                  <c:v>603.48685425294832</c:v>
                </c:pt>
                <c:pt idx="545">
                  <c:v>605.62585889452293</c:v>
                </c:pt>
                <c:pt idx="546">
                  <c:v>607.76161539375505</c:v>
                </c:pt>
                <c:pt idx="547">
                  <c:v>609.89407376362158</c:v>
                </c:pt>
                <c:pt idx="548">
                  <c:v>612.02318005137579</c:v>
                </c:pt>
                <c:pt idx="549">
                  <c:v>614.14887661686919</c:v>
                </c:pt>
                <c:pt idx="550">
                  <c:v>616.27110240690388</c:v>
                </c:pt>
                <c:pt idx="551">
                  <c:v>618.38979322330192</c:v>
                </c:pt>
                <c:pt idx="552">
                  <c:v>620.5048819828728</c:v>
                </c:pt>
                <c:pt idx="553">
                  <c:v>622.61629896791146</c:v>
                </c:pt>
                <c:pt idx="554">
                  <c:v>624.72397206626295</c:v>
                </c:pt>
                <c:pt idx="555">
                  <c:v>626.82782700033761</c:v>
                </c:pt>
                <c:pt idx="556">
                  <c:v>628.9277875447516</c:v>
                </c:pt>
                <c:pt idx="557">
                  <c:v>631.02377573250499</c:v>
                </c:pt>
                <c:pt idx="558">
                  <c:v>633.11571204979953</c:v>
                </c:pt>
                <c:pt idx="559">
                  <c:v>635.2035156197403</c:v>
                </c:pt>
                <c:pt idx="560">
                  <c:v>637.28710437527434</c:v>
                </c:pt>
                <c:pt idx="561">
                  <c:v>639.36639522179553</c:v>
                </c:pt>
                <c:pt idx="562">
                  <c:v>641.44130418989175</c:v>
                </c:pt>
                <c:pt idx="563">
                  <c:v>643.51174657874321</c:v>
                </c:pt>
                <c:pt idx="564">
                  <c:v>645.57763709069013</c:v>
                </c:pt>
                <c:pt idx="565">
                  <c:v>647.6388899574896</c:v>
                </c:pt>
                <c:pt idx="566">
                  <c:v>649.69541905877202</c:v>
                </c:pt>
                <c:pt idx="567">
                  <c:v>651.74713803319116</c:v>
                </c:pt>
                <c:pt idx="568">
                  <c:v>653.79396038274058</c:v>
                </c:pt>
                <c:pt idx="569">
                  <c:v>655.83579957068582</c:v>
                </c:pt>
                <c:pt idx="570">
                  <c:v>657.87256911353643</c:v>
                </c:pt>
                <c:pt idx="571">
                  <c:v>659.90418266745473</c:v>
                </c:pt>
                <c:pt idx="572">
                  <c:v>661.93055410947136</c:v>
                </c:pt>
                <c:pt idx="573">
                  <c:v>663.95159761385298</c:v>
                </c:pt>
                <c:pt idx="574">
                  <c:v>665.96722772394116</c:v>
                </c:pt>
                <c:pt idx="575">
                  <c:v>667.97735941975805</c:v>
                </c:pt>
                <c:pt idx="576">
                  <c:v>669.98190818165153</c:v>
                </c:pt>
                <c:pt idx="577">
                  <c:v>671.98079005023067</c:v>
                </c:pt>
                <c:pt idx="578">
                  <c:v>673.97392168282352</c:v>
                </c:pt>
                <c:pt idx="579">
                  <c:v>675.96122040667024</c:v>
                </c:pt>
                <c:pt idx="580">
                  <c:v>677.94260426904634</c:v>
                </c:pt>
                <c:pt idx="581">
                  <c:v>679.91799208449731</c:v>
                </c:pt>
                <c:pt idx="582">
                  <c:v>681.8873034793495</c:v>
                </c:pt>
                <c:pt idx="583">
                  <c:v>683.85045893364952</c:v>
                </c:pt>
                <c:pt idx="584">
                  <c:v>685.80737982067228</c:v>
                </c:pt>
                <c:pt idx="585">
                  <c:v>687.75798844412725</c:v>
                </c:pt>
                <c:pt idx="586">
                  <c:v>689.7022080731806</c:v>
                </c:pt>
                <c:pt idx="587">
                  <c:v>691.63996297540439</c:v>
                </c:pt>
                <c:pt idx="588">
                  <c:v>693.57117844775235</c:v>
                </c:pt>
                <c:pt idx="589">
                  <c:v>695.49578084565746</c:v>
                </c:pt>
                <c:pt idx="590">
                  <c:v>697.41369761033718</c:v>
                </c:pt>
                <c:pt idx="591">
                  <c:v>699.32485729438622</c:v>
                </c:pt>
                <c:pt idx="592">
                  <c:v>701.22918958573257</c:v>
                </c:pt>
                <c:pt idx="593">
                  <c:v>703.12662533002538</c:v>
                </c:pt>
                <c:pt idx="594">
                  <c:v>705.01709655151944</c:v>
                </c:pt>
                <c:pt idx="595">
                  <c:v>706.90053647251739</c:v>
                </c:pt>
                <c:pt idx="596">
                  <c:v>708.7768795314247</c:v>
                </c:pt>
                <c:pt idx="597">
                  <c:v>710.64606139947216</c:v>
                </c:pt>
                <c:pt idx="598">
                  <c:v>712.50801899615431</c:v>
                </c:pt>
                <c:pt idx="599">
                  <c:v>714.36269050343117</c:v>
                </c:pt>
                <c:pt idx="600">
                  <c:v>716.21001537873747</c:v>
                </c:pt>
                <c:pt idx="601">
                  <c:v>718.04993436684117</c:v>
                </c:pt>
                <c:pt idx="602">
                  <c:v>719.88238951059066</c:v>
                </c:pt>
                <c:pt idx="603">
                  <c:v>721.707324160589</c:v>
                </c:pt>
                <c:pt idx="604">
                  <c:v>723.52468298382985</c:v>
                </c:pt>
                <c:pt idx="605">
                  <c:v>725.33441197133061</c:v>
                </c:pt>
                <c:pt idx="606">
                  <c:v>727.13645844479447</c:v>
                </c:pt>
                <c:pt idx="607">
                  <c:v>728.93077106233329</c:v>
                </c:pt>
                <c:pt idx="608">
                  <c:v>730.71729982328088</c:v>
                </c:pt>
                <c:pt idx="609">
                  <c:v>732.49599607212622</c:v>
                </c:pt>
                <c:pt idx="610">
                  <c:v>734.26681250159436</c:v>
                </c:pt>
                <c:pt idx="611">
                  <c:v>736.02970315490165</c:v>
                </c:pt>
                <c:pt idx="612">
                  <c:v>737.78462342721139</c:v>
                </c:pt>
                <c:pt idx="613">
                  <c:v>739.53153006631601</c:v>
                </c:pt>
                <c:pt idx="614">
                  <c:v>741.27038117256916</c:v>
                </c:pt>
                <c:pt idx="615">
                  <c:v>743.00113619809235</c:v>
                </c:pt>
                <c:pt idx="616">
                  <c:v>744.72375594527898</c:v>
                </c:pt>
                <c:pt idx="617">
                  <c:v>746.43820256461868</c:v>
                </c:pt>
                <c:pt idx="618">
                  <c:v>748.14443955186368</c:v>
                </c:pt>
                <c:pt idx="619">
                  <c:v>749.84243174455935</c:v>
                </c:pt>
                <c:pt idx="620">
                  <c:v>751.53214531795902</c:v>
                </c:pt>
                <c:pt idx="621">
                  <c:v>753.21354778034515</c:v>
                </c:pt>
                <c:pt idx="622">
                  <c:v>754.88660796777515</c:v>
                </c:pt>
                <c:pt idx="623">
                  <c:v>756.55129603827379</c:v>
                </c:pt>
                <c:pt idx="624">
                  <c:v>758.20758346549007</c:v>
                </c:pt>
                <c:pt idx="625">
                  <c:v>759.85544303183781</c:v>
                </c:pt>
                <c:pt idx="626">
                  <c:v>761.4948488211395</c:v>
                </c:pt>
                <c:pt idx="627">
                  <c:v>763.12577621079106</c:v>
                </c:pt>
                <c:pt idx="628">
                  <c:v>764.74820186346528</c:v>
                </c:pt>
                <c:pt idx="629">
                  <c:v>766.36210371837262</c:v>
                </c:pt>
                <c:pt idx="630">
                  <c:v>767.96746098209599</c:v>
                </c:pt>
                <c:pt idx="631">
                  <c:v>769.5642541190166</c:v>
                </c:pt>
                <c:pt idx="632">
                  <c:v>771.15246484134855</c:v>
                </c:pt>
                <c:pt idx="633">
                  <c:v>772.73207609879739</c:v>
                </c:pt>
                <c:pt idx="634">
                  <c:v>774.30307206786017</c:v>
                </c:pt>
                <c:pt idx="635">
                  <c:v>775.86543814078186</c:v>
                </c:pt>
                <c:pt idx="636">
                  <c:v>777.41916091418477</c:v>
                </c:pt>
                <c:pt idx="637">
                  <c:v>778.96422817738517</c:v>
                </c:pt>
                <c:pt idx="638">
                  <c:v>780.50062890041409</c:v>
                </c:pt>
                <c:pt idx="639">
                  <c:v>782.02835322175497</c:v>
                </c:pt>
                <c:pt idx="640">
                  <c:v>783.54739243581423</c:v>
                </c:pt>
                <c:pt idx="641">
                  <c:v>785.05773898013911</c:v>
                </c:pt>
                <c:pt idx="642">
                  <c:v>786.55938642239551</c:v>
                </c:pt>
                <c:pt idx="643">
                  <c:v>788.05232944712111</c:v>
                </c:pt>
                <c:pt idx="644">
                  <c:v>789.5365638422669</c:v>
                </c:pt>
                <c:pt idx="645">
                  <c:v>791.01208648553916</c:v>
                </c:pt>
                <c:pt idx="646">
                  <c:v>792.47889533055695</c:v>
                </c:pt>
                <c:pt idx="647">
                  <c:v>793.93698939283615</c:v>
                </c:pt>
                <c:pt idx="648">
                  <c:v>795.38636873561313</c:v>
                </c:pt>
                <c:pt idx="649">
                  <c:v>796.82703445552022</c:v>
                </c:pt>
                <c:pt idx="650">
                  <c:v>798.25898866812508</c:v>
                </c:pt>
                <c:pt idx="651">
                  <c:v>799.68223449334494</c:v>
                </c:pt>
                <c:pt idx="652">
                  <c:v>801.09677604074818</c:v>
                </c:pt>
                <c:pt idx="653">
                  <c:v>802.50261839475309</c:v>
                </c:pt>
                <c:pt idx="654">
                  <c:v>803.89976759973592</c:v>
                </c:pt>
                <c:pt idx="655">
                  <c:v>805.28823064505787</c:v>
                </c:pt>
                <c:pt idx="656">
                  <c:v>806.6680154500217</c:v>
                </c:pt>
                <c:pt idx="657">
                  <c:v>808.0391308487682</c:v>
                </c:pt>
                <c:pt idx="658">
                  <c:v>809.401586575122</c:v>
                </c:pt>
                <c:pt idx="659">
                  <c:v>810.75539324739657</c:v>
                </c:pt>
                <c:pt idx="660">
                  <c:v>812.10056235316745</c:v>
                </c:pt>
                <c:pt idx="661">
                  <c:v>813.43710623402262</c:v>
                </c:pt>
                <c:pt idx="662">
                  <c:v>814.7650380702994</c:v>
                </c:pt>
                <c:pt idx="663">
                  <c:v>816.0843718658158</c:v>
                </c:pt>
                <c:pt idx="664">
                  <c:v>817.39512243260435</c:v>
                </c:pt>
                <c:pt idx="665">
                  <c:v>818.69730537565772</c:v>
                </c:pt>
                <c:pt idx="666">
                  <c:v>819.99093707769202</c:v>
                </c:pt>
                <c:pt idx="667">
                  <c:v>821.27603468393681</c:v>
                </c:pt>
                <c:pt idx="668">
                  <c:v>822.55261608695866</c:v>
                </c:pt>
                <c:pt idx="669">
                  <c:v>823.8206999115248</c:v>
                </c:pt>
                <c:pt idx="670">
                  <c:v>825.08030549951411</c:v>
                </c:pt>
                <c:pt idx="671">
                  <c:v>826.33145289488198</c:v>
                </c:pt>
                <c:pt idx="672">
                  <c:v>827.5741628286853</c:v>
                </c:pt>
                <c:pt idx="673">
                  <c:v>828.80845670417364</c:v>
                </c:pt>
                <c:pt idx="674">
                  <c:v>830.03435658195201</c:v>
                </c:pt>
                <c:pt idx="675">
                  <c:v>831.25188516522201</c:v>
                </c:pt>
                <c:pt idx="676">
                  <c:v>832.46106578510557</c:v>
                </c:pt>
                <c:pt idx="677">
                  <c:v>833.66192238605686</c:v>
                </c:pt>
                <c:pt idx="678">
                  <c:v>834.85447951136757</c:v>
                </c:pt>
                <c:pt idx="679">
                  <c:v>836.03876228877004</c:v>
                </c:pt>
                <c:pt idx="680">
                  <c:v>837.21479641614314</c:v>
                </c:pt>
                <c:pt idx="681">
                  <c:v>838.38260814732439</c:v>
                </c:pt>
                <c:pt idx="682">
                  <c:v>839.5422242780337</c:v>
                </c:pt>
                <c:pt idx="683">
                  <c:v>840.6936721319114</c:v>
                </c:pt>
                <c:pt idx="684">
                  <c:v>841.83697954667514</c:v>
                </c:pt>
                <c:pt idx="685">
                  <c:v>842.97217486039915</c:v>
                </c:pt>
                <c:pt idx="686">
                  <c:v>844.09928689791877</c:v>
                </c:pt>
                <c:pt idx="687">
                  <c:v>845.21834495736357</c:v>
                </c:pt>
                <c:pt idx="688">
                  <c:v>846.32937879682254</c:v>
                </c:pt>
                <c:pt idx="689">
                  <c:v>847.43241862114348</c:v>
                </c:pt>
                <c:pt idx="690">
                  <c:v>848.5274950688696</c:v>
                </c:pt>
                <c:pt idx="691">
                  <c:v>849.61463919931566</c:v>
                </c:pt>
                <c:pt idx="692">
                  <c:v>850.69388247978668</c:v>
                </c:pt>
                <c:pt idx="693">
                  <c:v>851.76525677293955</c:v>
                </c:pt>
                <c:pt idx="694">
                  <c:v>852.82879432429206</c:v>
                </c:pt>
                <c:pt idx="695">
                  <c:v>853.884527749879</c:v>
                </c:pt>
                <c:pt idx="696">
                  <c:v>854.9324900240581</c:v>
                </c:pt>
                <c:pt idx="697">
                  <c:v>855.9727144674672</c:v>
                </c:pt>
                <c:pt idx="698">
                  <c:v>857.0052347351342</c:v>
                </c:pt>
                <c:pt idx="699">
                  <c:v>858.03008480474057</c:v>
                </c:pt>
                <c:pt idx="700">
                  <c:v>859.04729896504011</c:v>
                </c:pt>
                <c:pt idx="701">
                  <c:v>860.05691180443353</c:v>
                </c:pt>
                <c:pt idx="702">
                  <c:v>861.05895819969999</c:v>
                </c:pt>
                <c:pt idx="703">
                  <c:v>862.05347330488644</c:v>
                </c:pt>
                <c:pt idx="704">
                  <c:v>863.04049254035522</c:v>
                </c:pt>
                <c:pt idx="705">
                  <c:v>864.02005158199051</c:v>
                </c:pt>
                <c:pt idx="706">
                  <c:v>864.99218635056377</c:v>
                </c:pt>
                <c:pt idx="707">
                  <c:v>865.95693300125924</c:v>
                </c:pt>
                <c:pt idx="708">
                  <c:v>866.91432791335899</c:v>
                </c:pt>
                <c:pt idx="709">
                  <c:v>867.86440768008777</c:v>
                </c:pt>
                <c:pt idx="710">
                  <c:v>868.80720909861793</c:v>
                </c:pt>
                <c:pt idx="711">
                  <c:v>869.74276916023405</c:v>
                </c:pt>
                <c:pt idx="712">
                  <c:v>870.67112504065756</c:v>
                </c:pt>
                <c:pt idx="713">
                  <c:v>871.59231409053029</c:v>
                </c:pt>
                <c:pt idx="714">
                  <c:v>872.5063738260576</c:v>
                </c:pt>
                <c:pt idx="715">
                  <c:v>873.41334191980968</c:v>
                </c:pt>
                <c:pt idx="716">
                  <c:v>874.31325619168138</c:v>
                </c:pt>
                <c:pt idx="717">
                  <c:v>875.20615460000965</c:v>
                </c:pt>
                <c:pt idx="718">
                  <c:v>876.09207523284783</c:v>
                </c:pt>
                <c:pt idx="719">
                  <c:v>876.97105629939585</c:v>
                </c:pt>
                <c:pt idx="720">
                  <c:v>877.84313612158689</c:v>
                </c:pt>
                <c:pt idx="721">
                  <c:v>878.70835312582756</c:v>
                </c:pt>
                <c:pt idx="722">
                  <c:v>879.5667458348928</c:v>
                </c:pt>
                <c:pt idx="723">
                  <c:v>880.41835285997308</c:v>
                </c:pt>
                <c:pt idx="724">
                  <c:v>881.26321289287353</c:v>
                </c:pt>
                <c:pt idx="725">
                  <c:v>882.10136469836414</c:v>
                </c:pt>
                <c:pt idx="726">
                  <c:v>882.93284710667922</c:v>
                </c:pt>
                <c:pt idx="727">
                  <c:v>883.75769900616569</c:v>
                </c:pt>
                <c:pt idx="728">
                  <c:v>884.57595933607888</c:v>
                </c:pt>
                <c:pt idx="729">
                  <c:v>885.38766707952414</c:v>
                </c:pt>
                <c:pt idx="730">
                  <c:v>886.19286125654344</c:v>
                </c:pt>
                <c:pt idx="731">
                  <c:v>886.99158091734569</c:v>
                </c:pt>
                <c:pt idx="732">
                  <c:v>887.78386513567932</c:v>
                </c:pt>
                <c:pt idx="733">
                  <c:v>888.56975300234558</c:v>
                </c:pt>
                <c:pt idx="734">
                  <c:v>889.34928361885136</c:v>
                </c:pt>
                <c:pt idx="735">
                  <c:v>890.12249609120022</c:v>
                </c:pt>
                <c:pt idx="736">
                  <c:v>890.88942952382013</c:v>
                </c:pt>
                <c:pt idx="737">
                  <c:v>891.65012301362606</c:v>
                </c:pt>
                <c:pt idx="738">
                  <c:v>892.40461564421628</c:v>
                </c:pt>
                <c:pt idx="739">
                  <c:v>893.15294648020119</c:v>
                </c:pt>
                <c:pt idx="740">
                  <c:v>893.89515456166237</c:v>
                </c:pt>
                <c:pt idx="741">
                  <c:v>894.63127889874102</c:v>
                </c:pt>
                <c:pt idx="742">
                  <c:v>895.36135846635341</c:v>
                </c:pt>
                <c:pt idx="743">
                  <c:v>896.08543219903299</c:v>
                </c:pt>
                <c:pt idx="744">
                  <c:v>896.80353898589624</c:v>
                </c:pt>
                <c:pt idx="745">
                  <c:v>897.51571766573159</c:v>
                </c:pt>
                <c:pt idx="746">
                  <c:v>898.22200702220937</c:v>
                </c:pt>
                <c:pt idx="747">
                  <c:v>898.92244577921133</c:v>
                </c:pt>
                <c:pt idx="748">
                  <c:v>899.61707259627804</c:v>
                </c:pt>
                <c:pt idx="749">
                  <c:v>900.30592606417258</c:v>
                </c:pt>
                <c:pt idx="750">
                  <c:v>900.98904470055891</c:v>
                </c:pt>
                <c:pt idx="751">
                  <c:v>901.66646694579345</c:v>
                </c:pt>
                <c:pt idx="752">
                  <c:v>902.33823115882751</c:v>
                </c:pt>
                <c:pt idx="753">
                  <c:v>903.00437561321996</c:v>
                </c:pt>
                <c:pt idx="754">
                  <c:v>903.66493849325809</c:v>
                </c:pt>
                <c:pt idx="755">
                  <c:v>904.31995789018436</c:v>
                </c:pt>
                <c:pt idx="756">
                  <c:v>904.9694717985285</c:v>
                </c:pt>
                <c:pt idx="757">
                  <c:v>905.61351811254303</c:v>
                </c:pt>
                <c:pt idx="758">
                  <c:v>906.25213462273962</c:v>
                </c:pt>
                <c:pt idx="759">
                  <c:v>906.88535901252624</c:v>
                </c:pt>
                <c:pt idx="760">
                  <c:v>907.51322885494233</c:v>
                </c:pt>
                <c:pt idx="761">
                  <c:v>908.13578160949044</c:v>
                </c:pt>
                <c:pt idx="762">
                  <c:v>908.75305461906385</c:v>
                </c:pt>
                <c:pt idx="763">
                  <c:v>909.36508510696706</c:v>
                </c:pt>
                <c:pt idx="764">
                  <c:v>909.97191017402838</c:v>
                </c:pt>
                <c:pt idx="765">
                  <c:v>910.57356679580346</c:v>
                </c:pt>
                <c:pt idx="766">
                  <c:v>911.17009181986703</c:v>
                </c:pt>
                <c:pt idx="767">
                  <c:v>911.76152196319265</c:v>
                </c:pt>
                <c:pt idx="768">
                  <c:v>912.34789380961752</c:v>
                </c:pt>
                <c:pt idx="769">
                  <c:v>912.92924380739214</c:v>
                </c:pt>
                <c:pt idx="770">
                  <c:v>913.50560826681226</c:v>
                </c:pt>
                <c:pt idx="771">
                  <c:v>914.07702335793272</c:v>
                </c:pt>
                <c:pt idx="772">
                  <c:v>914.64352510836022</c:v>
                </c:pt>
                <c:pt idx="773">
                  <c:v>915.20514940112491</c:v>
                </c:pt>
                <c:pt idx="774">
                  <c:v>915.76193197262853</c:v>
                </c:pt>
                <c:pt idx="775">
                  <c:v>916.3139084106682</c:v>
                </c:pt>
                <c:pt idx="776">
                  <c:v>916.8611141525339</c:v>
                </c:pt>
                <c:pt idx="777">
                  <c:v>917.40358448317841</c:v>
                </c:pt>
                <c:pt idx="778">
                  <c:v>917.94135453345837</c:v>
                </c:pt>
                <c:pt idx="779">
                  <c:v>918.47445927844547</c:v>
                </c:pt>
                <c:pt idx="780">
                  <c:v>919.00293353580514</c:v>
                </c:pt>
                <c:pt idx="781">
                  <c:v>919.52681196424294</c:v>
                </c:pt>
                <c:pt idx="782">
                  <c:v>920.04612906201623</c:v>
                </c:pt>
                <c:pt idx="783">
                  <c:v>920.56091916551031</c:v>
                </c:pt>
                <c:pt idx="784">
                  <c:v>921.0712164478773</c:v>
                </c:pt>
                <c:pt idx="785">
                  <c:v>921.57705491773697</c:v>
                </c:pt>
                <c:pt idx="786">
                  <c:v>922.07846841793764</c:v>
                </c:pt>
                <c:pt idx="787">
                  <c:v>922.57549062437647</c:v>
                </c:pt>
                <c:pt idx="788">
                  <c:v>923.06815504487781</c:v>
                </c:pt>
                <c:pt idx="789">
                  <c:v>923.55649501812775</c:v>
                </c:pt>
                <c:pt idx="790">
                  <c:v>924.04054371266432</c:v>
                </c:pt>
                <c:pt idx="791">
                  <c:v>924.52033412592209</c:v>
                </c:pt>
                <c:pt idx="792">
                  <c:v>924.99589908332962</c:v>
                </c:pt>
                <c:pt idx="793">
                  <c:v>925.4672712374587</c:v>
                </c:pt>
                <c:pt idx="794">
                  <c:v>925.93448306722496</c:v>
                </c:pt>
                <c:pt idx="795">
                  <c:v>926.39756687713714</c:v>
                </c:pt>
                <c:pt idx="796">
                  <c:v>926.85655479659556</c:v>
                </c:pt>
                <c:pt idx="797">
                  <c:v>927.31147877923775</c:v>
                </c:pt>
                <c:pt idx="798">
                  <c:v>927.76237060233063</c:v>
                </c:pt>
                <c:pt idx="799">
                  <c:v>928.20926186620727</c:v>
                </c:pt>
                <c:pt idx="800">
                  <c:v>928.20926186620727</c:v>
                </c:pt>
                <c:pt idx="801">
                  <c:v>928.20926186620727</c:v>
                </c:pt>
                <c:pt idx="802">
                  <c:v>928.20926186620727</c:v>
                </c:pt>
                <c:pt idx="803">
                  <c:v>928.20926186620727</c:v>
                </c:pt>
                <c:pt idx="804">
                  <c:v>928.20926186620727</c:v>
                </c:pt>
                <c:pt idx="805">
                  <c:v>928.20926186620727</c:v>
                </c:pt>
                <c:pt idx="806">
                  <c:v>928.20926186620727</c:v>
                </c:pt>
                <c:pt idx="807">
                  <c:v>928.20926186620727</c:v>
                </c:pt>
                <c:pt idx="808">
                  <c:v>928.20926186620727</c:v>
                </c:pt>
                <c:pt idx="809">
                  <c:v>928.20926186620727</c:v>
                </c:pt>
                <c:pt idx="810">
                  <c:v>928.20926186620727</c:v>
                </c:pt>
                <c:pt idx="811">
                  <c:v>928.20926186620727</c:v>
                </c:pt>
                <c:pt idx="812">
                  <c:v>928.20926186620727</c:v>
                </c:pt>
                <c:pt idx="813">
                  <c:v>928.20926186620727</c:v>
                </c:pt>
                <c:pt idx="814">
                  <c:v>928.20926186620727</c:v>
                </c:pt>
                <c:pt idx="815">
                  <c:v>928.20926186620727</c:v>
                </c:pt>
                <c:pt idx="816">
                  <c:v>928.20926186620727</c:v>
                </c:pt>
                <c:pt idx="817">
                  <c:v>928.20926186620727</c:v>
                </c:pt>
                <c:pt idx="818">
                  <c:v>928.20926186620727</c:v>
                </c:pt>
                <c:pt idx="819">
                  <c:v>928.20926186620727</c:v>
                </c:pt>
                <c:pt idx="820">
                  <c:v>928.20926186620727</c:v>
                </c:pt>
                <c:pt idx="821">
                  <c:v>928.20926186620727</c:v>
                </c:pt>
                <c:pt idx="822">
                  <c:v>928.20926186620727</c:v>
                </c:pt>
                <c:pt idx="823">
                  <c:v>928.20926186620727</c:v>
                </c:pt>
                <c:pt idx="824">
                  <c:v>928.20926186620727</c:v>
                </c:pt>
                <c:pt idx="825">
                  <c:v>928.20926186620727</c:v>
                </c:pt>
                <c:pt idx="826">
                  <c:v>928.20926186620727</c:v>
                </c:pt>
                <c:pt idx="827">
                  <c:v>928.20926186620727</c:v>
                </c:pt>
                <c:pt idx="828">
                  <c:v>928.20926186620727</c:v>
                </c:pt>
                <c:pt idx="829">
                  <c:v>928.20926186620727</c:v>
                </c:pt>
                <c:pt idx="830">
                  <c:v>928.20926186620727</c:v>
                </c:pt>
                <c:pt idx="831">
                  <c:v>928.20926186620727</c:v>
                </c:pt>
                <c:pt idx="832">
                  <c:v>928.20926186620727</c:v>
                </c:pt>
                <c:pt idx="833">
                  <c:v>928.20926186620727</c:v>
                </c:pt>
                <c:pt idx="834">
                  <c:v>928.20926186620727</c:v>
                </c:pt>
                <c:pt idx="835">
                  <c:v>928.20926186620727</c:v>
                </c:pt>
                <c:pt idx="836">
                  <c:v>928.20926186620727</c:v>
                </c:pt>
                <c:pt idx="837">
                  <c:v>928.20926186620727</c:v>
                </c:pt>
                <c:pt idx="838">
                  <c:v>928.20926186620727</c:v>
                </c:pt>
                <c:pt idx="839">
                  <c:v>928.20926186620727</c:v>
                </c:pt>
                <c:pt idx="840">
                  <c:v>928.20926186620727</c:v>
                </c:pt>
                <c:pt idx="841">
                  <c:v>928.20926186620727</c:v>
                </c:pt>
                <c:pt idx="842">
                  <c:v>928.20926186620727</c:v>
                </c:pt>
                <c:pt idx="843">
                  <c:v>928.20926186620727</c:v>
                </c:pt>
                <c:pt idx="844">
                  <c:v>928.20926186620727</c:v>
                </c:pt>
                <c:pt idx="845">
                  <c:v>928.20926186620727</c:v>
                </c:pt>
                <c:pt idx="846">
                  <c:v>928.20926186620727</c:v>
                </c:pt>
                <c:pt idx="847">
                  <c:v>928.20926186620727</c:v>
                </c:pt>
                <c:pt idx="848">
                  <c:v>928.20926186620727</c:v>
                </c:pt>
                <c:pt idx="849">
                  <c:v>928.20926186620727</c:v>
                </c:pt>
                <c:pt idx="850">
                  <c:v>928.20926186620727</c:v>
                </c:pt>
                <c:pt idx="851">
                  <c:v>928.20926186620727</c:v>
                </c:pt>
                <c:pt idx="852">
                  <c:v>928.20926186620727</c:v>
                </c:pt>
                <c:pt idx="853">
                  <c:v>928.20926186620727</c:v>
                </c:pt>
                <c:pt idx="854">
                  <c:v>928.20926186620727</c:v>
                </c:pt>
                <c:pt idx="855">
                  <c:v>928.20926186620727</c:v>
                </c:pt>
                <c:pt idx="856">
                  <c:v>928.20926186620727</c:v>
                </c:pt>
                <c:pt idx="857">
                  <c:v>928.20926186620727</c:v>
                </c:pt>
                <c:pt idx="858">
                  <c:v>928.20926186620727</c:v>
                </c:pt>
                <c:pt idx="859">
                  <c:v>928.20926186620727</c:v>
                </c:pt>
                <c:pt idx="860">
                  <c:v>928.20926186620727</c:v>
                </c:pt>
                <c:pt idx="861">
                  <c:v>928.20926186620727</c:v>
                </c:pt>
                <c:pt idx="862">
                  <c:v>928.20926186620727</c:v>
                </c:pt>
                <c:pt idx="863">
                  <c:v>928.20926186620727</c:v>
                </c:pt>
                <c:pt idx="864">
                  <c:v>928.20926186620727</c:v>
                </c:pt>
                <c:pt idx="865">
                  <c:v>928.20926186620727</c:v>
                </c:pt>
                <c:pt idx="866">
                  <c:v>928.20926186620727</c:v>
                </c:pt>
                <c:pt idx="867">
                  <c:v>928.20926186620727</c:v>
                </c:pt>
                <c:pt idx="868">
                  <c:v>928.20926186620727</c:v>
                </c:pt>
                <c:pt idx="869">
                  <c:v>928.20926186620727</c:v>
                </c:pt>
                <c:pt idx="870">
                  <c:v>928.20926186620727</c:v>
                </c:pt>
                <c:pt idx="871">
                  <c:v>928.20926186620727</c:v>
                </c:pt>
                <c:pt idx="872">
                  <c:v>928.20926186620727</c:v>
                </c:pt>
                <c:pt idx="873">
                  <c:v>928.20926186620727</c:v>
                </c:pt>
                <c:pt idx="874">
                  <c:v>928.20926186620727</c:v>
                </c:pt>
                <c:pt idx="875">
                  <c:v>928.20926186620727</c:v>
                </c:pt>
                <c:pt idx="876">
                  <c:v>928.20926186620727</c:v>
                </c:pt>
                <c:pt idx="877">
                  <c:v>928.20926186620727</c:v>
                </c:pt>
                <c:pt idx="878">
                  <c:v>928.20926186620727</c:v>
                </c:pt>
                <c:pt idx="879">
                  <c:v>928.20926186620727</c:v>
                </c:pt>
                <c:pt idx="880">
                  <c:v>928.20926186620727</c:v>
                </c:pt>
                <c:pt idx="881">
                  <c:v>928.20926186620727</c:v>
                </c:pt>
                <c:pt idx="882">
                  <c:v>928.20926186620727</c:v>
                </c:pt>
                <c:pt idx="883">
                  <c:v>928.20926186620727</c:v>
                </c:pt>
                <c:pt idx="884">
                  <c:v>928.20926186620727</c:v>
                </c:pt>
                <c:pt idx="885">
                  <c:v>928.20926186620727</c:v>
                </c:pt>
                <c:pt idx="886">
                  <c:v>928.20926186620727</c:v>
                </c:pt>
                <c:pt idx="887">
                  <c:v>928.20926186620727</c:v>
                </c:pt>
                <c:pt idx="888">
                  <c:v>928.20926186620727</c:v>
                </c:pt>
                <c:pt idx="889">
                  <c:v>928.20926186620727</c:v>
                </c:pt>
                <c:pt idx="890">
                  <c:v>928.20926186620727</c:v>
                </c:pt>
                <c:pt idx="891">
                  <c:v>928.20926186620727</c:v>
                </c:pt>
                <c:pt idx="892">
                  <c:v>928.20926186620727</c:v>
                </c:pt>
                <c:pt idx="893">
                  <c:v>928.20926186620727</c:v>
                </c:pt>
                <c:pt idx="894">
                  <c:v>928.20926186620727</c:v>
                </c:pt>
                <c:pt idx="895">
                  <c:v>928.20926186620727</c:v>
                </c:pt>
                <c:pt idx="896">
                  <c:v>928.20926186620727</c:v>
                </c:pt>
                <c:pt idx="897">
                  <c:v>928.20926186620727</c:v>
                </c:pt>
                <c:pt idx="898">
                  <c:v>928.20926186620727</c:v>
                </c:pt>
                <c:pt idx="899">
                  <c:v>928.20926186620727</c:v>
                </c:pt>
                <c:pt idx="900">
                  <c:v>928.20926186620727</c:v>
                </c:pt>
                <c:pt idx="901">
                  <c:v>928.20926186620727</c:v>
                </c:pt>
                <c:pt idx="902">
                  <c:v>928.20926186620727</c:v>
                </c:pt>
                <c:pt idx="903">
                  <c:v>928.20926186620727</c:v>
                </c:pt>
                <c:pt idx="904">
                  <c:v>928.20926186620727</c:v>
                </c:pt>
                <c:pt idx="905">
                  <c:v>928.20926186620727</c:v>
                </c:pt>
                <c:pt idx="906">
                  <c:v>928.20926186620727</c:v>
                </c:pt>
                <c:pt idx="907">
                  <c:v>928.20926186620727</c:v>
                </c:pt>
                <c:pt idx="908">
                  <c:v>928.20926186620727</c:v>
                </c:pt>
                <c:pt idx="909">
                  <c:v>928.20926186620727</c:v>
                </c:pt>
                <c:pt idx="910">
                  <c:v>928.20926186620727</c:v>
                </c:pt>
                <c:pt idx="911">
                  <c:v>928.20926186620727</c:v>
                </c:pt>
                <c:pt idx="912">
                  <c:v>928.20926186620727</c:v>
                </c:pt>
                <c:pt idx="913">
                  <c:v>928.20926186620727</c:v>
                </c:pt>
                <c:pt idx="914">
                  <c:v>928.20926186620727</c:v>
                </c:pt>
                <c:pt idx="915">
                  <c:v>928.20926186620727</c:v>
                </c:pt>
                <c:pt idx="916">
                  <c:v>928.20926186620727</c:v>
                </c:pt>
                <c:pt idx="917">
                  <c:v>928.20926186620727</c:v>
                </c:pt>
                <c:pt idx="918">
                  <c:v>928.20926186620727</c:v>
                </c:pt>
                <c:pt idx="919">
                  <c:v>928.20926186620727</c:v>
                </c:pt>
                <c:pt idx="920">
                  <c:v>928.20926186620727</c:v>
                </c:pt>
                <c:pt idx="921">
                  <c:v>928.20926186620727</c:v>
                </c:pt>
                <c:pt idx="922">
                  <c:v>928.20926186620727</c:v>
                </c:pt>
                <c:pt idx="923">
                  <c:v>928.20926186620727</c:v>
                </c:pt>
                <c:pt idx="924">
                  <c:v>928.20926186620727</c:v>
                </c:pt>
                <c:pt idx="925">
                  <c:v>928.20926186620727</c:v>
                </c:pt>
                <c:pt idx="926">
                  <c:v>928.20926186620727</c:v>
                </c:pt>
                <c:pt idx="927">
                  <c:v>928.20926186620727</c:v>
                </c:pt>
                <c:pt idx="928">
                  <c:v>928.20926186620727</c:v>
                </c:pt>
                <c:pt idx="929">
                  <c:v>928.20926186620727</c:v>
                </c:pt>
                <c:pt idx="930">
                  <c:v>928.20926186620727</c:v>
                </c:pt>
                <c:pt idx="931">
                  <c:v>928.20926186620727</c:v>
                </c:pt>
                <c:pt idx="932">
                  <c:v>928.20926186620727</c:v>
                </c:pt>
                <c:pt idx="933">
                  <c:v>928.20926186620727</c:v>
                </c:pt>
                <c:pt idx="934">
                  <c:v>928.20926186620727</c:v>
                </c:pt>
                <c:pt idx="935">
                  <c:v>928.20926186620727</c:v>
                </c:pt>
                <c:pt idx="936">
                  <c:v>928.20926186620727</c:v>
                </c:pt>
                <c:pt idx="937">
                  <c:v>928.20926186620727</c:v>
                </c:pt>
                <c:pt idx="938">
                  <c:v>928.20926186620727</c:v>
                </c:pt>
                <c:pt idx="939">
                  <c:v>928.20926186620727</c:v>
                </c:pt>
                <c:pt idx="940">
                  <c:v>928.20926186620727</c:v>
                </c:pt>
                <c:pt idx="941">
                  <c:v>928.20926186620727</c:v>
                </c:pt>
                <c:pt idx="942">
                  <c:v>928.20926186620727</c:v>
                </c:pt>
                <c:pt idx="943">
                  <c:v>928.20926186620727</c:v>
                </c:pt>
                <c:pt idx="944">
                  <c:v>928.20926186620727</c:v>
                </c:pt>
                <c:pt idx="945">
                  <c:v>928.20926186620727</c:v>
                </c:pt>
                <c:pt idx="946">
                  <c:v>928.20926186620727</c:v>
                </c:pt>
                <c:pt idx="947">
                  <c:v>928.20926186620727</c:v>
                </c:pt>
                <c:pt idx="948">
                  <c:v>928.20926186620727</c:v>
                </c:pt>
                <c:pt idx="949">
                  <c:v>928.20926186620727</c:v>
                </c:pt>
                <c:pt idx="950">
                  <c:v>928.20926186620727</c:v>
                </c:pt>
                <c:pt idx="951">
                  <c:v>928.20926186620727</c:v>
                </c:pt>
                <c:pt idx="952">
                  <c:v>928.20926186620727</c:v>
                </c:pt>
                <c:pt idx="953">
                  <c:v>928.20926186620727</c:v>
                </c:pt>
                <c:pt idx="954">
                  <c:v>928.20926186620727</c:v>
                </c:pt>
                <c:pt idx="955">
                  <c:v>928.20926186620727</c:v>
                </c:pt>
                <c:pt idx="956">
                  <c:v>928.20926186620727</c:v>
                </c:pt>
                <c:pt idx="957">
                  <c:v>928.20926186620727</c:v>
                </c:pt>
                <c:pt idx="958">
                  <c:v>928.20926186620727</c:v>
                </c:pt>
                <c:pt idx="959">
                  <c:v>928.20926186620727</c:v>
                </c:pt>
                <c:pt idx="960">
                  <c:v>928.20926186620727</c:v>
                </c:pt>
                <c:pt idx="961">
                  <c:v>928.20926186620727</c:v>
                </c:pt>
                <c:pt idx="962">
                  <c:v>928.20926186620727</c:v>
                </c:pt>
                <c:pt idx="963">
                  <c:v>928.20926186620727</c:v>
                </c:pt>
                <c:pt idx="964">
                  <c:v>928.20926186620727</c:v>
                </c:pt>
                <c:pt idx="965">
                  <c:v>928.20926186620727</c:v>
                </c:pt>
                <c:pt idx="966">
                  <c:v>928.20926186620727</c:v>
                </c:pt>
                <c:pt idx="967">
                  <c:v>928.20926186620727</c:v>
                </c:pt>
                <c:pt idx="968">
                  <c:v>928.20926186620727</c:v>
                </c:pt>
                <c:pt idx="969">
                  <c:v>928.20926186620727</c:v>
                </c:pt>
                <c:pt idx="970">
                  <c:v>928.20926186620727</c:v>
                </c:pt>
                <c:pt idx="971">
                  <c:v>928.20926186620727</c:v>
                </c:pt>
                <c:pt idx="972">
                  <c:v>928.20926186620727</c:v>
                </c:pt>
                <c:pt idx="973">
                  <c:v>928.20926186620727</c:v>
                </c:pt>
                <c:pt idx="974">
                  <c:v>928.20926186620727</c:v>
                </c:pt>
                <c:pt idx="975">
                  <c:v>928.20926186620727</c:v>
                </c:pt>
                <c:pt idx="976">
                  <c:v>928.20926186620727</c:v>
                </c:pt>
                <c:pt idx="977">
                  <c:v>928.20926186620727</c:v>
                </c:pt>
                <c:pt idx="978">
                  <c:v>928.20926186620727</c:v>
                </c:pt>
                <c:pt idx="979">
                  <c:v>928.20926186620727</c:v>
                </c:pt>
                <c:pt idx="980">
                  <c:v>928.20926186620727</c:v>
                </c:pt>
                <c:pt idx="981">
                  <c:v>928.20926186620727</c:v>
                </c:pt>
                <c:pt idx="982">
                  <c:v>928.20926186620727</c:v>
                </c:pt>
                <c:pt idx="983">
                  <c:v>928.20926186620727</c:v>
                </c:pt>
                <c:pt idx="984">
                  <c:v>928.20926186620727</c:v>
                </c:pt>
                <c:pt idx="985">
                  <c:v>928.20926186620727</c:v>
                </c:pt>
                <c:pt idx="986">
                  <c:v>928.20926186620727</c:v>
                </c:pt>
                <c:pt idx="987">
                  <c:v>928.20926186620727</c:v>
                </c:pt>
                <c:pt idx="988">
                  <c:v>928.20926186620727</c:v>
                </c:pt>
                <c:pt idx="989">
                  <c:v>928.20926186620727</c:v>
                </c:pt>
                <c:pt idx="990">
                  <c:v>928.20926186620727</c:v>
                </c:pt>
                <c:pt idx="991">
                  <c:v>928.20926186620727</c:v>
                </c:pt>
                <c:pt idx="992">
                  <c:v>928.20926186620727</c:v>
                </c:pt>
                <c:pt idx="993">
                  <c:v>928.20926186620727</c:v>
                </c:pt>
                <c:pt idx="994">
                  <c:v>928.20926186620727</c:v>
                </c:pt>
                <c:pt idx="995">
                  <c:v>928.20926186620727</c:v>
                </c:pt>
                <c:pt idx="996">
                  <c:v>928.20926186620727</c:v>
                </c:pt>
                <c:pt idx="997">
                  <c:v>928.20926186620727</c:v>
                </c:pt>
                <c:pt idx="998">
                  <c:v>928.20926186620727</c:v>
                </c:pt>
                <c:pt idx="999">
                  <c:v>928.20926186620727</c:v>
                </c:pt>
                <c:pt idx="1000">
                  <c:v>928.20926186620727</c:v>
                </c:pt>
              </c:numCache>
            </c:numRef>
          </c:xVal>
          <c:yVal>
            <c:numRef>
              <c:f>Calculs!$K$4:$K$1004</c:f>
              <c:numCache>
                <c:formatCode>0.00</c:formatCode>
                <c:ptCount val="1001"/>
                <c:pt idx="0">
                  <c:v>0</c:v>
                </c:pt>
                <c:pt idx="1">
                  <c:v>0.98473700747290427</c:v>
                </c:pt>
                <c:pt idx="2">
                  <c:v>1.9707925741889669</c:v>
                </c:pt>
                <c:pt idx="3">
                  <c:v>2.9610860184747216</c:v>
                </c:pt>
                <c:pt idx="4">
                  <c:v>3.9585357304745465</c:v>
                </c:pt>
                <c:pt idx="5">
                  <c:v>4.9660456277968521</c:v>
                </c:pt>
                <c:pt idx="6">
                  <c:v>5.9857801416581502</c:v>
                </c:pt>
                <c:pt idx="7">
                  <c:v>7.0184377263080782</c:v>
                </c:pt>
                <c:pt idx="8">
                  <c:v>8.0639758970996578</c:v>
                </c:pt>
                <c:pt idx="9">
                  <c:v>9.1223519271825548</c:v>
                </c:pt>
                <c:pt idx="10">
                  <c:v>10.193522849710263</c:v>
                </c:pt>
                <c:pt idx="11">
                  <c:v>11.277445460068151</c:v>
                </c:pt>
                <c:pt idx="12">
                  <c:v>12.374076318121705</c:v>
                </c:pt>
                <c:pt idx="13">
                  <c:v>13.483371750484361</c:v>
                </c:pt>
                <c:pt idx="14">
                  <c:v>14.605287852804278</c:v>
                </c:pt>
                <c:pt idx="15">
                  <c:v>15.739780492069482</c:v>
                </c:pt>
                <c:pt idx="16">
                  <c:v>16.886805308930761</c:v>
                </c:pt>
                <c:pt idx="17">
                  <c:v>18.046317720041731</c:v>
                </c:pt>
                <c:pt idx="18">
                  <c:v>19.218272920415501</c:v>
                </c:pt>
                <c:pt idx="19">
                  <c:v>20.402625885797381</c:v>
                </c:pt>
                <c:pt idx="20">
                  <c:v>21.599331375053055</c:v>
                </c:pt>
                <c:pt idx="21">
                  <c:v>22.808343932571688</c:v>
                </c:pt>
                <c:pt idx="22">
                  <c:v>24.029617890683419</c:v>
                </c:pt>
                <c:pt idx="23">
                  <c:v>25.263107372090694</c:v>
                </c:pt>
                <c:pt idx="24">
                  <c:v>26.508766292312938</c:v>
                </c:pt>
                <c:pt idx="25">
                  <c:v>27.766548362144015</c:v>
                </c:pt>
                <c:pt idx="26">
                  <c:v>29.036407090121966</c:v>
                </c:pt>
                <c:pt idx="27">
                  <c:v>30.318295785010548</c:v>
                </c:pt>
                <c:pt idx="28">
                  <c:v>31.612167558292008</c:v>
                </c:pt>
                <c:pt idx="29">
                  <c:v>32.917975326670643</c:v>
                </c:pt>
                <c:pt idx="30">
                  <c:v>34.235671814586652</c:v>
                </c:pt>
                <c:pt idx="31">
                  <c:v>35.565209556739731</c:v>
                </c:pt>
                <c:pt idx="32">
                  <c:v>36.906540900621998</c:v>
                </c:pt>
                <c:pt idx="33">
                  <c:v>38.259618009059736</c:v>
                </c:pt>
                <c:pt idx="34">
                  <c:v>39.624392862763472</c:v>
                </c:pt>
                <c:pt idx="35">
                  <c:v>41.000817262885903</c:v>
                </c:pt>
                <c:pt idx="36">
                  <c:v>42.388842833587283</c:v>
                </c:pt>
                <c:pt idx="37">
                  <c:v>43.788421024607679</c:v>
                </c:pt>
                <c:pt idx="38">
                  <c:v>45.199503113845751</c:v>
                </c:pt>
                <c:pt idx="39">
                  <c:v>46.622040209943556</c:v>
                </c:pt>
                <c:pt idx="40">
                  <c:v>48.055983254876885</c:v>
                </c:pt>
                <c:pt idx="41">
                  <c:v>49.501283026550759</c:v>
                </c:pt>
                <c:pt idx="42">
                  <c:v>50.957890141399595</c:v>
                </c:pt>
                <c:pt idx="43">
                  <c:v>52.425755056991591</c:v>
                </c:pt>
                <c:pt idx="44">
                  <c:v>53.904828074636939</c:v>
                </c:pt>
                <c:pt idx="45">
                  <c:v>55.395059341999392</c:v>
                </c:pt>
                <c:pt idx="46">
                  <c:v>56.896398855710757</c:v>
                </c:pt>
                <c:pt idx="47">
                  <c:v>58.408796463987933</c:v>
                </c:pt>
                <c:pt idx="48">
                  <c:v>59.932201869252012</c:v>
                </c:pt>
                <c:pt idx="49">
                  <c:v>61.466564630749055</c:v>
                </c:pt>
                <c:pt idx="50">
                  <c:v>63.011834167172154</c:v>
                </c:pt>
                <c:pt idx="51">
                  <c:v>64.567963696245272</c:v>
                </c:pt>
                <c:pt idx="52">
                  <c:v>66.13491417602863</c:v>
                </c:pt>
                <c:pt idx="53">
                  <c:v>67.712650368503375</c:v>
                </c:pt>
                <c:pt idx="54">
                  <c:v>69.301136901011404</c:v>
                </c:pt>
                <c:pt idx="55">
                  <c:v>70.900338268033593</c:v>
                </c:pt>
                <c:pt idx="56">
                  <c:v>72.510218832972328</c:v>
                </c:pt>
                <c:pt idx="57">
                  <c:v>74.130742829938129</c:v>
                </c:pt>
                <c:pt idx="58">
                  <c:v>75.761874365540137</c:v>
                </c:pt>
                <c:pt idx="59">
                  <c:v>77.403577420680165</c:v>
                </c:pt>
                <c:pt idx="60">
                  <c:v>79.055815852350065</c:v>
                </c:pt>
                <c:pt idx="61">
                  <c:v>80.718553395432181</c:v>
                </c:pt>
                <c:pt idx="62">
                  <c:v>82.391753664502673</c:v>
                </c:pt>
                <c:pt idx="63">
                  <c:v>84.075380155637333</c:v>
                </c:pt>
                <c:pt idx="64">
                  <c:v>85.769396248219863</c:v>
                </c:pt>
                <c:pt idx="65">
                  <c:v>87.473765206752091</c:v>
                </c:pt>
                <c:pt idx="66">
                  <c:v>89.188450182666188</c:v>
                </c:pt>
                <c:pt idx="67">
                  <c:v>90.913414216138392</c:v>
                </c:pt>
                <c:pt idx="68">
                  <c:v>92.64862023790414</c:v>
                </c:pt>
                <c:pt idx="69">
                  <c:v>94.394031071074309</c:v>
                </c:pt>
                <c:pt idx="70">
                  <c:v>96.14960943295236</c:v>
                </c:pt>
                <c:pt idx="71">
                  <c:v>97.915317936852134</c:v>
                </c:pt>
                <c:pt idx="72">
                  <c:v>99.691119093916086</c:v>
                </c:pt>
                <c:pt idx="73">
                  <c:v>101.47697531493367</c:v>
                </c:pt>
                <c:pt idx="74">
                  <c:v>103.27284891215973</c:v>
                </c:pt>
                <c:pt idx="75">
                  <c:v>105.07870210113261</c:v>
                </c:pt>
                <c:pt idx="76">
                  <c:v>106.8944970024917</c:v>
                </c:pt>
                <c:pt idx="77">
                  <c:v>108.72019564379444</c:v>
                </c:pt>
                <c:pt idx="78">
                  <c:v>110.55575996133214</c:v>
                </c:pt>
                <c:pt idx="79">
                  <c:v>112.40115180194485</c:v>
                </c:pt>
                <c:pt idx="80">
                  <c:v>114.25633292483468</c:v>
                </c:pt>
                <c:pt idx="81">
                  <c:v>116.12126500337764</c:v>
                </c:pt>
                <c:pt idx="82">
                  <c:v>117.99590962693364</c:v>
                </c:pt>
                <c:pt idx="83">
                  <c:v>119.88022830265433</c:v>
                </c:pt>
                <c:pt idx="84">
                  <c:v>121.77418245728894</c:v>
                </c:pt>
                <c:pt idx="85">
                  <c:v>123.67773343898742</c:v>
                </c:pt>
                <c:pt idx="86">
                  <c:v>125.59084251910106</c:v>
                </c:pt>
                <c:pt idx="87">
                  <c:v>127.51347089398026</c:v>
                </c:pt>
                <c:pt idx="88">
                  <c:v>129.44557968676909</c:v>
                </c:pt>
                <c:pt idx="89">
                  <c:v>131.38712994919675</c:v>
                </c:pt>
                <c:pt idx="90">
                  <c:v>133.33808266336544</c:v>
                </c:pt>
                <c:pt idx="91">
                  <c:v>135.29839874353465</c:v>
                </c:pt>
                <c:pt idx="92">
                  <c:v>137.26803903790145</c:v>
                </c:pt>
                <c:pt idx="93">
                  <c:v>139.24696433037687</c:v>
                </c:pt>
                <c:pt idx="94">
                  <c:v>141.23513534235798</c:v>
                </c:pt>
                <c:pt idx="95">
                  <c:v>143.23251273449554</c:v>
                </c:pt>
                <c:pt idx="96">
                  <c:v>145.23905710845696</c:v>
                </c:pt>
                <c:pt idx="97">
                  <c:v>147.25472900868456</c:v>
                </c:pt>
                <c:pt idx="98">
                  <c:v>149.27948892414881</c:v>
                </c:pt>
                <c:pt idx="99">
                  <c:v>151.3132972900963</c:v>
                </c:pt>
                <c:pt idx="100">
                  <c:v>153.35611448979256</c:v>
                </c:pt>
                <c:pt idx="101">
                  <c:v>155.40789902147051</c:v>
                </c:pt>
                <c:pt idx="102">
                  <c:v>157.46860566617082</c:v>
                </c:pt>
                <c:pt idx="103">
                  <c:v>159.53818732851278</c:v>
                </c:pt>
                <c:pt idx="104">
                  <c:v>161.61659687672525</c:v>
                </c:pt>
                <c:pt idx="105">
                  <c:v>163.70378714468549</c:v>
                </c:pt>
                <c:pt idx="106">
                  <c:v>165.79971093394778</c:v>
                </c:pt>
                <c:pt idx="107">
                  <c:v>167.90432101576221</c:v>
                </c:pt>
                <c:pt idx="108">
                  <c:v>170.01757013308296</c:v>
                </c:pt>
                <c:pt idx="109">
                  <c:v>172.13941100256613</c:v>
                </c:pt>
                <c:pt idx="110">
                  <c:v>174.26979631655689</c:v>
                </c:pt>
                <c:pt idx="111">
                  <c:v>176.4086787450658</c:v>
                </c:pt>
                <c:pt idx="112">
                  <c:v>178.55601093773407</c:v>
                </c:pt>
                <c:pt idx="113">
                  <c:v>180.71174552578765</c:v>
                </c:pt>
                <c:pt idx="114">
                  <c:v>182.87583512397993</c:v>
                </c:pt>
                <c:pt idx="115">
                  <c:v>185.04823233252293</c:v>
                </c:pt>
                <c:pt idx="116">
                  <c:v>187.22888973900692</c:v>
                </c:pt>
                <c:pt idx="117">
                  <c:v>189.41775992030801</c:v>
                </c:pt>
                <c:pt idx="118">
                  <c:v>191.61479544448395</c:v>
                </c:pt>
                <c:pt idx="119">
                  <c:v>193.81994887265762</c:v>
                </c:pt>
                <c:pt idx="120">
                  <c:v>196.03317276088848</c:v>
                </c:pt>
                <c:pt idx="121">
                  <c:v>198.25441966203144</c:v>
                </c:pt>
                <c:pt idx="122">
                  <c:v>200.48364212758315</c:v>
                </c:pt>
                <c:pt idx="123">
                  <c:v>202.72079270951585</c:v>
                </c:pt>
                <c:pt idx="124">
                  <c:v>204.96582396209809</c:v>
                </c:pt>
                <c:pt idx="125">
                  <c:v>207.2186884437028</c:v>
                </c:pt>
                <c:pt idx="126">
                  <c:v>209.47933871860215</c:v>
                </c:pt>
                <c:pt idx="127">
                  <c:v>211.7477273587493</c:v>
                </c:pt>
                <c:pt idx="128">
                  <c:v>214.0238069455468</c:v>
                </c:pt>
                <c:pt idx="129">
                  <c:v>216.30753007160166</c:v>
                </c:pt>
                <c:pt idx="130">
                  <c:v>218.59884934246691</c:v>
                </c:pt>
                <c:pt idx="131">
                  <c:v>220.89771737836946</c:v>
                </c:pt>
                <c:pt idx="132">
                  <c:v>223.20408681592434</c:v>
                </c:pt>
                <c:pt idx="133">
                  <c:v>225.51791030983512</c:v>
                </c:pt>
                <c:pt idx="134">
                  <c:v>227.83914053458034</c:v>
                </c:pt>
                <c:pt idx="135">
                  <c:v>230.16773018608603</c:v>
                </c:pt>
                <c:pt idx="136">
                  <c:v>232.50363198338414</c:v>
                </c:pt>
                <c:pt idx="137">
                  <c:v>234.84679867025673</c:v>
                </c:pt>
                <c:pt idx="138">
                  <c:v>237.19718301686595</c:v>
                </c:pt>
                <c:pt idx="139">
                  <c:v>239.55473782136974</c:v>
                </c:pt>
                <c:pt idx="140">
                  <c:v>241.91941591152303</c:v>
                </c:pt>
                <c:pt idx="141">
                  <c:v>244.29117014626451</c:v>
                </c:pt>
                <c:pt idx="142">
                  <c:v>246.66995341728881</c:v>
                </c:pt>
                <c:pt idx="143">
                  <c:v>249.05571865060426</c:v>
                </c:pt>
                <c:pt idx="144">
                  <c:v>251.44841880807564</c:v>
                </c:pt>
                <c:pt idx="145">
                  <c:v>253.84800688895251</c:v>
                </c:pt>
                <c:pt idx="146">
                  <c:v>256.2544359313826</c:v>
                </c:pt>
                <c:pt idx="147">
                  <c:v>258.66765901391034</c:v>
                </c:pt>
                <c:pt idx="148">
                  <c:v>261.08762925696061</c:v>
                </c:pt>
                <c:pt idx="149">
                  <c:v>263.5142998243075</c:v>
                </c:pt>
                <c:pt idx="150">
                  <c:v>265.94762392452799</c:v>
                </c:pt>
                <c:pt idx="151">
                  <c:v>268.38755544311249</c:v>
                </c:pt>
                <c:pt idx="152">
                  <c:v>270.83404957368759</c:v>
                </c:pt>
                <c:pt idx="153">
                  <c:v>273.28706218623444</c:v>
                </c:pt>
                <c:pt idx="154">
                  <c:v>275.74654919612357</c:v>
                </c:pt>
                <c:pt idx="155">
                  <c:v>278.21246656541138</c:v>
                </c:pt>
                <c:pt idx="156">
                  <c:v>280.68477030412311</c:v>
                </c:pt>
                <c:pt idx="157">
                  <c:v>283.16341647152194</c:v>
                </c:pt>
                <c:pt idx="158">
                  <c:v>285.64836117736445</c:v>
                </c:pt>
                <c:pt idx="159">
                  <c:v>288.13956058314193</c:v>
                </c:pt>
                <c:pt idx="160">
                  <c:v>290.6369709033084</c:v>
                </c:pt>
                <c:pt idx="161">
                  <c:v>293.14054840649425</c:v>
                </c:pt>
                <c:pt idx="162">
                  <c:v>295.65024941670663</c:v>
                </c:pt>
                <c:pt idx="163">
                  <c:v>298.16603031451535</c:v>
                </c:pt>
                <c:pt idx="164">
                  <c:v>300.68784753822553</c:v>
                </c:pt>
                <c:pt idx="165">
                  <c:v>303.21565758503584</c:v>
                </c:pt>
                <c:pt idx="166">
                  <c:v>305.74941701218341</c:v>
                </c:pt>
                <c:pt idx="167">
                  <c:v>308.28908243807433</c:v>
                </c:pt>
                <c:pt idx="168">
                  <c:v>310.83461054340074</c:v>
                </c:pt>
                <c:pt idx="169">
                  <c:v>313.38595807224374</c:v>
                </c:pt>
                <c:pt idx="170">
                  <c:v>315.94308183316269</c:v>
                </c:pt>
                <c:pt idx="171">
                  <c:v>318.50593870027041</c:v>
                </c:pt>
                <c:pt idx="172">
                  <c:v>321.07448561429476</c:v>
                </c:pt>
                <c:pt idx="173">
                  <c:v>323.64867958362618</c:v>
                </c:pt>
                <c:pt idx="174">
                  <c:v>326.22847768535166</c:v>
                </c:pt>
                <c:pt idx="175">
                  <c:v>328.81383706627469</c:v>
                </c:pt>
                <c:pt idx="176">
                  <c:v>331.40471494392153</c:v>
                </c:pt>
                <c:pt idx="177">
                  <c:v>334.00106860753368</c:v>
                </c:pt>
                <c:pt idx="178">
                  <c:v>336.6028554190467</c:v>
                </c:pt>
                <c:pt idx="179">
                  <c:v>339.21003281405518</c:v>
                </c:pt>
                <c:pt idx="180">
                  <c:v>341.82255830276409</c:v>
                </c:pt>
                <c:pt idx="181">
                  <c:v>344.4403894709265</c:v>
                </c:pt>
                <c:pt idx="182">
                  <c:v>347.06348398076761</c:v>
                </c:pt>
                <c:pt idx="183">
                  <c:v>349.6917995718951</c:v>
                </c:pt>
                <c:pt idx="184">
                  <c:v>352.32529406219612</c:v>
                </c:pt>
                <c:pt idx="185">
                  <c:v>354.96392534872047</c:v>
                </c:pt>
                <c:pt idx="186">
                  <c:v>357.60765140855068</c:v>
                </c:pt>
                <c:pt idx="187">
                  <c:v>360.25643029965806</c:v>
                </c:pt>
                <c:pt idx="188">
                  <c:v>362.91022016174588</c:v>
                </c:pt>
                <c:pt idx="189">
                  <c:v>365.56897921707883</c:v>
                </c:pt>
                <c:pt idx="190">
                  <c:v>368.2326657712992</c:v>
                </c:pt>
                <c:pt idx="191">
                  <c:v>370.90123821422986</c:v>
                </c:pt>
                <c:pt idx="192">
                  <c:v>373.57465502066395</c:v>
                </c:pt>
                <c:pt idx="193">
                  <c:v>376.25287475114129</c:v>
                </c:pt>
                <c:pt idx="194">
                  <c:v>378.93585605271164</c:v>
                </c:pt>
                <c:pt idx="195">
                  <c:v>381.62355765968505</c:v>
                </c:pt>
                <c:pt idx="196">
                  <c:v>384.31593839436891</c:v>
                </c:pt>
                <c:pt idx="197">
                  <c:v>387.01295716779208</c:v>
                </c:pt>
                <c:pt idx="198">
                  <c:v>389.71457298041616</c:v>
                </c:pt>
                <c:pt idx="199">
                  <c:v>392.42074492283371</c:v>
                </c:pt>
                <c:pt idx="200">
                  <c:v>395.13143217645376</c:v>
                </c:pt>
                <c:pt idx="201">
                  <c:v>397.84659401417463</c:v>
                </c:pt>
                <c:pt idx="202">
                  <c:v>400.56618980104372</c:v>
                </c:pt>
                <c:pt idx="203">
                  <c:v>403.29017899490486</c:v>
                </c:pt>
                <c:pt idx="204">
                  <c:v>406.0185211470332</c:v>
                </c:pt>
                <c:pt idx="205">
                  <c:v>408.7511759027571</c:v>
                </c:pt>
                <c:pt idx="206">
                  <c:v>411.48810300206821</c:v>
                </c:pt>
                <c:pt idx="207">
                  <c:v>414.22926228021845</c:v>
                </c:pt>
                <c:pt idx="208">
                  <c:v>416.97461366830515</c:v>
                </c:pt>
                <c:pt idx="209">
                  <c:v>419.72411719384377</c:v>
                </c:pt>
                <c:pt idx="210">
                  <c:v>422.4777329813283</c:v>
                </c:pt>
                <c:pt idx="211">
                  <c:v>425.2354212527797</c:v>
                </c:pt>
                <c:pt idx="212">
                  <c:v>427.99714232828211</c:v>
                </c:pt>
                <c:pt idx="213">
                  <c:v>430.76285662650719</c:v>
                </c:pt>
                <c:pt idx="214">
                  <c:v>433.53252466522645</c:v>
                </c:pt>
                <c:pt idx="215">
                  <c:v>436.30610706181182</c:v>
                </c:pt>
                <c:pt idx="216">
                  <c:v>439.08356453372431</c:v>
                </c:pt>
                <c:pt idx="217">
                  <c:v>441.8648578989912</c:v>
                </c:pt>
                <c:pt idx="218">
                  <c:v>444.64994807667131</c:v>
                </c:pt>
                <c:pt idx="219">
                  <c:v>447.43879608730873</c:v>
                </c:pt>
                <c:pt idx="220">
                  <c:v>450.2313630533755</c:v>
                </c:pt>
                <c:pt idx="221">
                  <c:v>453.02761019970228</c:v>
                </c:pt>
                <c:pt idx="222">
                  <c:v>455.82749885389813</c:v>
                </c:pt>
                <c:pt idx="223">
                  <c:v>458.63099044675897</c:v>
                </c:pt>
                <c:pt idx="224">
                  <c:v>461.43804651266464</c:v>
                </c:pt>
                <c:pt idx="225">
                  <c:v>464.24862868996513</c:v>
                </c:pt>
                <c:pt idx="226">
                  <c:v>467.06269872135573</c:v>
                </c:pt>
                <c:pt idx="227">
                  <c:v>469.88021845424123</c:v>
                </c:pt>
                <c:pt idx="228">
                  <c:v>472.70114984108926</c:v>
                </c:pt>
                <c:pt idx="229">
                  <c:v>475.52545493977289</c:v>
                </c:pt>
                <c:pt idx="230">
                  <c:v>478.35309591390251</c:v>
                </c:pt>
                <c:pt idx="231">
                  <c:v>481.18403503314727</c:v>
                </c:pt>
                <c:pt idx="232">
                  <c:v>484.01823467354569</c:v>
                </c:pt>
                <c:pt idx="233">
                  <c:v>486.85565731780628</c:v>
                </c:pt>
                <c:pt idx="234">
                  <c:v>489.69626555559734</c:v>
                </c:pt>
                <c:pt idx="235">
                  <c:v>492.54002208382673</c:v>
                </c:pt>
                <c:pt idx="236">
                  <c:v>495.38688970691163</c:v>
                </c:pt>
                <c:pt idx="237">
                  <c:v>498.23683133703787</c:v>
                </c:pt>
                <c:pt idx="238">
                  <c:v>501.08980999440939</c:v>
                </c:pt>
                <c:pt idx="239">
                  <c:v>503.94578880748787</c:v>
                </c:pt>
                <c:pt idx="240">
                  <c:v>506.80473101322235</c:v>
                </c:pt>
                <c:pt idx="241">
                  <c:v>509.66659995726928</c:v>
                </c:pt>
                <c:pt idx="242">
                  <c:v>512.5313590942028</c:v>
                </c:pt>
                <c:pt idx="243">
                  <c:v>515.3989719877153</c:v>
                </c:pt>
                <c:pt idx="244">
                  <c:v>518.26940231080891</c:v>
                </c:pt>
                <c:pt idx="245">
                  <c:v>521.14261384597705</c:v>
                </c:pt>
                <c:pt idx="246">
                  <c:v>524.01857048537704</c:v>
                </c:pt>
                <c:pt idx="247">
                  <c:v>526.89723623099349</c:v>
                </c:pt>
                <c:pt idx="248">
                  <c:v>529.7785751947921</c:v>
                </c:pt>
                <c:pt idx="249">
                  <c:v>532.66255159886509</c:v>
                </c:pt>
                <c:pt idx="250">
                  <c:v>535.54912977556694</c:v>
                </c:pt>
                <c:pt idx="251">
                  <c:v>538.43827139841926</c:v>
                </c:pt>
                <c:pt idx="252">
                  <c:v>541.3299327204312</c:v>
                </c:pt>
                <c:pt idx="253">
                  <c:v>544.22406736100527</c:v>
                </c:pt>
                <c:pt idx="254">
                  <c:v>547.12062908546022</c:v>
                </c:pt>
                <c:pt idx="255">
                  <c:v>550.01957180521993</c:v>
                </c:pt>
                <c:pt idx="256">
                  <c:v>552.92084957798886</c:v>
                </c:pt>
                <c:pt idx="257">
                  <c:v>555.82441660791301</c:v>
                </c:pt>
                <c:pt idx="258">
                  <c:v>558.73022724572775</c:v>
                </c:pt>
                <c:pt idx="259">
                  <c:v>561.63823598889178</c:v>
                </c:pt>
                <c:pt idx="260">
                  <c:v>564.54839748170787</c:v>
                </c:pt>
                <c:pt idx="261">
                  <c:v>567.46066651543026</c:v>
                </c:pt>
                <c:pt idx="262">
                  <c:v>570.37499802835907</c:v>
                </c:pt>
                <c:pt idx="263">
                  <c:v>573.29134710592143</c:v>
                </c:pt>
                <c:pt idx="264">
                  <c:v>576.20966898074039</c:v>
                </c:pt>
                <c:pt idx="265">
                  <c:v>579.12991903269051</c:v>
                </c:pt>
                <c:pt idx="266">
                  <c:v>582.0520527889413</c:v>
                </c:pt>
                <c:pt idx="267">
                  <c:v>584.97602592398846</c:v>
                </c:pt>
                <c:pt idx="268">
                  <c:v>587.90179425967244</c:v>
                </c:pt>
                <c:pt idx="269">
                  <c:v>590.82931376518513</c:v>
                </c:pt>
                <c:pt idx="270">
                  <c:v>593.75854055706498</c:v>
                </c:pt>
                <c:pt idx="271">
                  <c:v>596.68943089917968</c:v>
                </c:pt>
                <c:pt idx="272">
                  <c:v>599.62194120269771</c:v>
                </c:pt>
                <c:pt idx="273">
                  <c:v>602.55602802604824</c:v>
                </c:pt>
                <c:pt idx="274">
                  <c:v>605.49164807486932</c:v>
                </c:pt>
                <c:pt idx="275">
                  <c:v>608.4287582019457</c:v>
                </c:pt>
                <c:pt idx="276">
                  <c:v>611.36731540713481</c:v>
                </c:pt>
                <c:pt idx="277">
                  <c:v>614.30727683728219</c:v>
                </c:pt>
                <c:pt idx="278">
                  <c:v>617.24859978612585</c:v>
                </c:pt>
                <c:pt idx="279">
                  <c:v>620.19124169419069</c:v>
                </c:pt>
                <c:pt idx="280">
                  <c:v>623.13516014867139</c:v>
                </c:pt>
                <c:pt idx="281">
                  <c:v>626.08031288330585</c:v>
                </c:pt>
                <c:pt idx="282">
                  <c:v>629.0266577782379</c:v>
                </c:pt>
                <c:pt idx="283">
                  <c:v>631.97415285987029</c:v>
                </c:pt>
                <c:pt idx="284">
                  <c:v>634.92275630070731</c:v>
                </c:pt>
                <c:pt idx="285">
                  <c:v>637.87242641918806</c:v>
                </c:pt>
                <c:pt idx="286">
                  <c:v>640.82312167950988</c:v>
                </c:pt>
                <c:pt idx="287">
                  <c:v>643.77480069144224</c:v>
                </c:pt>
                <c:pt idx="288">
                  <c:v>646.72742221013118</c:v>
                </c:pt>
                <c:pt idx="289">
                  <c:v>649.68094513589472</c:v>
                </c:pt>
                <c:pt idx="290">
                  <c:v>652.63532851400896</c:v>
                </c:pt>
                <c:pt idx="291">
                  <c:v>655.59053153448519</c:v>
                </c:pt>
                <c:pt idx="292">
                  <c:v>658.54651353183851</c:v>
                </c:pt>
                <c:pt idx="293">
                  <c:v>661.50323398484727</c:v>
                </c:pt>
                <c:pt idx="294">
                  <c:v>664.46065251630421</c:v>
                </c:pt>
                <c:pt idx="295">
                  <c:v>667.41872889275896</c:v>
                </c:pt>
                <c:pt idx="296">
                  <c:v>670.37742302425261</c:v>
                </c:pt>
                <c:pt idx="297">
                  <c:v>673.33669496404377</c:v>
                </c:pt>
                <c:pt idx="298">
                  <c:v>676.29647430934915</c:v>
                </c:pt>
                <c:pt idx="299">
                  <c:v>679.25662970024234</c:v>
                </c:pt>
                <c:pt idx="300">
                  <c:v>682.21699963949482</c:v>
                </c:pt>
                <c:pt idx="301">
                  <c:v>685.17742321519722</c:v>
                </c:pt>
                <c:pt idx="302">
                  <c:v>688.13774010228497</c:v>
                </c:pt>
                <c:pt idx="303">
                  <c:v>691.09779056391767</c:v>
                </c:pt>
                <c:pt idx="304">
                  <c:v>694.0574154527128</c:v>
                </c:pt>
                <c:pt idx="305">
                  <c:v>697.01645621183729</c:v>
                </c:pt>
                <c:pt idx="306">
                  <c:v>699.97475487595773</c:v>
                </c:pt>
                <c:pt idx="307">
                  <c:v>702.9321540720515</c:v>
                </c:pt>
                <c:pt idx="308">
                  <c:v>705.8884970200819</c:v>
                </c:pt>
                <c:pt idx="309">
                  <c:v>708.84362753353707</c:v>
                </c:pt>
                <c:pt idx="310">
                  <c:v>711.79739001983717</c:v>
                </c:pt>
                <c:pt idx="311">
                  <c:v>714.74962948060943</c:v>
                </c:pt>
                <c:pt idx="312">
                  <c:v>717.70019151183567</c:v>
                </c:pt>
                <c:pt idx="313">
                  <c:v>720.64892230387136</c:v>
                </c:pt>
                <c:pt idx="314">
                  <c:v>723.59566864134092</c:v>
                </c:pt>
                <c:pt idx="315">
                  <c:v>726.54027790290945</c:v>
                </c:pt>
                <c:pt idx="316">
                  <c:v>729.48259806093381</c:v>
                </c:pt>
                <c:pt idx="317">
                  <c:v>732.42247768099435</c:v>
                </c:pt>
                <c:pt idx="318">
                  <c:v>735.35976592130987</c:v>
                </c:pt>
                <c:pt idx="319">
                  <c:v>738.29431253203791</c:v>
                </c:pt>
                <c:pt idx="320">
                  <c:v>741.22596785446115</c:v>
                </c:pt>
                <c:pt idx="321">
                  <c:v>744.15459501406895</c:v>
                </c:pt>
                <c:pt idx="322">
                  <c:v>747.08008206564102</c:v>
                </c:pt>
                <c:pt idx="323">
                  <c:v>750.00232969730439</c:v>
                </c:pt>
                <c:pt idx="324">
                  <c:v>752.92123898225566</c:v>
                </c:pt>
                <c:pt idx="325">
                  <c:v>755.83671137720887</c:v>
                </c:pt>
                <c:pt idx="326">
                  <c:v>758.74864872080457</c:v>
                </c:pt>
                <c:pt idx="327">
                  <c:v>761.65695323198054</c:v>
                </c:pt>
                <c:pt idx="328">
                  <c:v>764.56152750830597</c:v>
                </c:pt>
                <c:pt idx="329">
                  <c:v>767.46227452427888</c:v>
                </c:pt>
                <c:pt idx="330">
                  <c:v>770.35909762958784</c:v>
                </c:pt>
                <c:pt idx="331">
                  <c:v>773.25190054733946</c:v>
                </c:pt>
                <c:pt idx="332">
                  <c:v>776.14058737225184</c:v>
                </c:pt>
                <c:pt idx="333">
                  <c:v>779.02506256881418</c:v>
                </c:pt>
                <c:pt idx="334">
                  <c:v>781.90523096941467</c:v>
                </c:pt>
                <c:pt idx="335">
                  <c:v>784.78099777243631</c:v>
                </c:pt>
                <c:pt idx="336">
                  <c:v>787.65226854032164</c:v>
                </c:pt>
                <c:pt idx="337">
                  <c:v>790.51894919760764</c:v>
                </c:pt>
                <c:pt idx="338">
                  <c:v>793.38094602893091</c:v>
                </c:pt>
                <c:pt idx="339">
                  <c:v>796.23816567700374</c:v>
                </c:pt>
                <c:pt idx="340">
                  <c:v>799.09051514056284</c:v>
                </c:pt>
                <c:pt idx="341">
                  <c:v>801.93790177228971</c:v>
                </c:pt>
                <c:pt idx="342">
                  <c:v>804.78023327670508</c:v>
                </c:pt>
                <c:pt idx="343">
                  <c:v>807.6174177080369</c:v>
                </c:pt>
                <c:pt idx="344">
                  <c:v>810.4493634680631</c:v>
                </c:pt>
                <c:pt idx="345">
                  <c:v>813.2759793039296</c:v>
                </c:pt>
                <c:pt idx="346">
                  <c:v>816.09717430594401</c:v>
                </c:pt>
                <c:pt idx="347">
                  <c:v>818.91285790534641</c:v>
                </c:pt>
                <c:pt idx="348">
                  <c:v>821.72294118822538</c:v>
                </c:pt>
                <c:pt idx="349">
                  <c:v>824.52733820371998</c:v>
                </c:pt>
                <c:pt idx="350">
                  <c:v>827.32596463408004</c:v>
                </c:pt>
                <c:pt idx="351">
                  <c:v>830.1187364704416</c:v>
                </c:pt>
                <c:pt idx="352">
                  <c:v>832.90557001058255</c:v>
                </c:pt>
                <c:pt idx="353">
                  <c:v>835.68638185666168</c:v>
                </c:pt>
                <c:pt idx="354">
                  <c:v>838.46108891294227</c:v>
                </c:pt>
                <c:pt idx="355">
                  <c:v>841.2296083835007</c:v>
                </c:pt>
                <c:pt idx="356">
                  <c:v>843.99185776992022</c:v>
                </c:pt>
                <c:pt idx="357">
                  <c:v>846.74775486897045</c:v>
                </c:pt>
                <c:pt idx="358">
                  <c:v>849.49721777027344</c:v>
                </c:pt>
                <c:pt idx="359">
                  <c:v>852.24016485395634</c:v>
                </c:pt>
                <c:pt idx="360">
                  <c:v>854.97654215868852</c:v>
                </c:pt>
                <c:pt idx="361">
                  <c:v>857.70635062848544</c:v>
                </c:pt>
                <c:pt idx="362">
                  <c:v>860.42961849976757</c:v>
                </c:pt>
                <c:pt idx="363">
                  <c:v>863.14637381175601</c:v>
                </c:pt>
                <c:pt idx="364">
                  <c:v>865.85664440831601</c:v>
                </c:pt>
                <c:pt idx="365">
                  <c:v>868.56045793977842</c:v>
                </c:pt>
                <c:pt idx="366">
                  <c:v>871.25784186474016</c:v>
                </c:pt>
                <c:pt idx="367">
                  <c:v>873.9488234518434</c:v>
                </c:pt>
                <c:pt idx="368">
                  <c:v>876.63342978153457</c:v>
                </c:pt>
                <c:pt idx="369">
                  <c:v>879.31168774780201</c:v>
                </c:pt>
                <c:pt idx="370">
                  <c:v>881.98362405989451</c:v>
                </c:pt>
                <c:pt idx="371">
                  <c:v>884.64926524401915</c:v>
                </c:pt>
                <c:pt idx="372">
                  <c:v>887.30863764501999</c:v>
                </c:pt>
                <c:pt idx="373">
                  <c:v>889.96176742803766</c:v>
                </c:pt>
                <c:pt idx="374">
                  <c:v>892.60868058014921</c:v>
                </c:pt>
                <c:pt idx="375">
                  <c:v>895.2494029119897</c:v>
                </c:pt>
                <c:pt idx="376">
                  <c:v>897.88396005935545</c:v>
                </c:pt>
                <c:pt idx="377">
                  <c:v>900.5123774847882</c:v>
                </c:pt>
                <c:pt idx="378">
                  <c:v>903.13468047914216</c:v>
                </c:pt>
                <c:pt idx="379">
                  <c:v>905.75089416313267</c:v>
                </c:pt>
                <c:pt idx="380">
                  <c:v>908.36104348886784</c:v>
                </c:pt>
                <c:pt idx="381">
                  <c:v>910.96515324136226</c:v>
                </c:pt>
                <c:pt idx="382">
                  <c:v>913.56324804003418</c:v>
                </c:pt>
                <c:pt idx="383">
                  <c:v>916.1553523401858</c:v>
                </c:pt>
                <c:pt idx="384">
                  <c:v>918.74149043446653</c:v>
                </c:pt>
                <c:pt idx="385">
                  <c:v>921.32168645432034</c:v>
                </c:pt>
                <c:pt idx="386">
                  <c:v>923.89596437141699</c:v>
                </c:pt>
                <c:pt idx="387">
                  <c:v>926.46434799906694</c:v>
                </c:pt>
                <c:pt idx="388">
                  <c:v>929.02686099362063</c:v>
                </c:pt>
                <c:pt idx="389">
                  <c:v>931.58352685585248</c:v>
                </c:pt>
                <c:pt idx="390">
                  <c:v>934.13436893232949</c:v>
                </c:pt>
                <c:pt idx="391">
                  <c:v>936.67941041676465</c:v>
                </c:pt>
                <c:pt idx="392">
                  <c:v>939.21867435135528</c:v>
                </c:pt>
                <c:pt idx="393">
                  <c:v>941.75218362810699</c:v>
                </c:pt>
                <c:pt idx="394">
                  <c:v>944.27996099014331</c:v>
                </c:pt>
                <c:pt idx="395">
                  <c:v>946.80202903300005</c:v>
                </c:pt>
                <c:pt idx="396">
                  <c:v>949.31841020590662</c:v>
                </c:pt>
                <c:pt idx="397">
                  <c:v>951.82912681305288</c:v>
                </c:pt>
                <c:pt idx="398">
                  <c:v>954.33420101484217</c:v>
                </c:pt>
                <c:pt idx="399">
                  <c:v>956.83365482913075</c:v>
                </c:pt>
                <c:pt idx="400">
                  <c:v>959.32751013245434</c:v>
                </c:pt>
                <c:pt idx="401">
                  <c:v>983.95982806633049</c:v>
                </c:pt>
                <c:pt idx="402">
                  <c:v>1008.0461850599833</c:v>
                </c:pt>
                <c:pt idx="403">
                  <c:v>1031.6071871818347</c:v>
                </c:pt>
                <c:pt idx="404">
                  <c:v>1054.6621739207383</c:v>
                </c:pt>
                <c:pt idx="405">
                  <c:v>1077.2293207328221</c:v>
                </c:pt>
                <c:pt idx="406">
                  <c:v>1099.3257313242746</c:v>
                </c:pt>
                <c:pt idx="407">
                  <c:v>1120.9675208855283</c:v>
                </c:pt>
                <c:pt idx="408">
                  <c:v>1142.1698913268979</c:v>
                </c:pt>
                <c:pt idx="409">
                  <c:v>1162.947199425651</c:v>
                </c:pt>
                <c:pt idx="410">
                  <c:v>1183.3130186754493</c:v>
                </c:pt>
                <c:pt idx="411">
                  <c:v>1203.2801955275715</c:v>
                </c:pt>
                <c:pt idx="412">
                  <c:v>1222.8609006264969</c:v>
                </c:pt>
                <c:pt idx="413">
                  <c:v>1242.0666755678985</c:v>
                </c:pt>
                <c:pt idx="414">
                  <c:v>1260.9084756429668</c:v>
                </c:pt>
                <c:pt idx="415">
                  <c:v>1279.3967089776197</c:v>
                </c:pt>
                <c:pt idx="416">
                  <c:v>1297.5412724272512</c:v>
                </c:pt>
                <c:pt idx="417">
                  <c:v>1315.351584546094</c:v>
                </c:pt>
                <c:pt idx="418">
                  <c:v>1332.8366159141028</c:v>
                </c:pt>
                <c:pt idx="419">
                  <c:v>1350.0049170727225</c:v>
                </c:pt>
                <c:pt idx="420">
                  <c:v>1366.8646442933325</c:v>
                </c:pt>
                <c:pt idx="421">
                  <c:v>1383.4235833779983</c:v>
                </c:pt>
                <c:pt idx="422">
                  <c:v>1399.6891716709438</c:v>
                </c:pt>
                <c:pt idx="423">
                  <c:v>1415.6685184404942</c:v>
                </c:pt>
                <c:pt idx="424">
                  <c:v>1431.3684237747725</c:v>
                </c:pt>
                <c:pt idx="425">
                  <c:v>1446.7953961198873</c:v>
                </c:pt>
                <c:pt idx="426">
                  <c:v>1461.9556685764751</c:v>
                </c:pt>
                <c:pt idx="427">
                  <c:v>1476.855214059035</c:v>
                </c:pt>
                <c:pt idx="428">
                  <c:v>1491.4997594123483</c:v>
                </c:pt>
                <c:pt idx="429">
                  <c:v>1505.8947985702378</c:v>
                </c:pt>
                <c:pt idx="430">
                  <c:v>1520.0456048338697</c:v>
                </c:pt>
                <c:pt idx="431">
                  <c:v>1533.9572423396069</c:v>
                </c:pt>
                <c:pt idx="432">
                  <c:v>1547.6345767799812</c:v>
                </c:pt>
                <c:pt idx="433">
                  <c:v>1561.0822854355936</c:v>
                </c:pt>
                <c:pt idx="434">
                  <c:v>1574.3048665705676</c:v>
                </c:pt>
                <c:pt idx="435">
                  <c:v>1587.3066482395388</c:v>
                </c:pt>
                <c:pt idx="436">
                  <c:v>1600.0917965499723</c:v>
                </c:pt>
                <c:pt idx="437">
                  <c:v>1612.6643234198289</c:v>
                </c:pt>
                <c:pt idx="438">
                  <c:v>1625.0280938672004</c:v>
                </c:pt>
                <c:pt idx="439">
                  <c:v>1637.1868328654512</c:v>
                </c:pt>
                <c:pt idx="440">
                  <c:v>1649.1441317946246</c:v>
                </c:pt>
                <c:pt idx="441">
                  <c:v>1660.9034545173502</c:v>
                </c:pt>
                <c:pt idx="442">
                  <c:v>1672.4681431051963</c:v>
                </c:pt>
                <c:pt idx="443">
                  <c:v>1683.8414232393395</c:v>
                </c:pt>
                <c:pt idx="444">
                  <c:v>1695.0264093075298</c:v>
                </c:pt>
                <c:pt idx="445">
                  <c:v>1706.0261092176106</c:v>
                </c:pt>
                <c:pt idx="446">
                  <c:v>1716.8434289462873</c:v>
                </c:pt>
                <c:pt idx="447">
                  <c:v>1727.481176840407</c:v>
                </c:pt>
                <c:pt idx="448">
                  <c:v>1737.9420676867044</c:v>
                </c:pt>
                <c:pt idx="449">
                  <c:v>1748.2287265647778</c:v>
                </c:pt>
                <c:pt idx="450">
                  <c:v>1758.3436924969649</c:v>
                </c:pt>
                <c:pt idx="451">
                  <c:v>1768.289421907785</c:v>
                </c:pt>
                <c:pt idx="452">
                  <c:v>1778.0682919047022</c:v>
                </c:pt>
                <c:pt idx="453">
                  <c:v>1787.6826033911148</c:v>
                </c:pt>
                <c:pt idx="454">
                  <c:v>1797.1345840217057</c:v>
                </c:pt>
                <c:pt idx="455">
                  <c:v>1806.4263910095788</c:v>
                </c:pt>
                <c:pt idx="456">
                  <c:v>1815.560113793945</c:v>
                </c:pt>
                <c:pt idx="457">
                  <c:v>1824.5377765765263</c:v>
                </c:pt>
                <c:pt idx="458">
                  <c:v>1833.3613407342839</c:v>
                </c:pt>
                <c:pt idx="459">
                  <c:v>1842.0327071155643</c:v>
                </c:pt>
                <c:pt idx="460">
                  <c:v>1850.5537182262879</c:v>
                </c:pt>
                <c:pt idx="461">
                  <c:v>1858.9261603123596</c:v>
                </c:pt>
                <c:pt idx="462">
                  <c:v>1867.1517653440819</c:v>
                </c:pt>
                <c:pt idx="463">
                  <c:v>1875.2322129079728</c:v>
                </c:pt>
                <c:pt idx="464">
                  <c:v>1883.1691320110449</c:v>
                </c:pt>
                <c:pt idx="465">
                  <c:v>1890.9641028022809</c:v>
                </c:pt>
                <c:pt idx="466">
                  <c:v>1898.61865821574</c:v>
                </c:pt>
                <c:pt idx="467">
                  <c:v>1906.134285539455</c:v>
                </c:pt>
                <c:pt idx="468">
                  <c:v>1913.5124279140234</c:v>
                </c:pt>
                <c:pt idx="469">
                  <c:v>1920.7544857645526</c:v>
                </c:pt>
                <c:pt idx="470">
                  <c:v>1927.8618181694021</c:v>
                </c:pt>
                <c:pt idx="471">
                  <c:v>1934.8357441689566</c:v>
                </c:pt>
                <c:pt idx="472">
                  <c:v>1941.6775440174697</c:v>
                </c:pt>
                <c:pt idx="473">
                  <c:v>1948.3884603808444</c:v>
                </c:pt>
                <c:pt idx="474">
                  <c:v>1954.9696994830424</c:v>
                </c:pt>
                <c:pt idx="475">
                  <c:v>1961.4224322036653</c:v>
                </c:pt>
                <c:pt idx="476">
                  <c:v>1967.747795129101</c:v>
                </c:pt>
                <c:pt idx="477">
                  <c:v>1973.9468915594985</c:v>
                </c:pt>
                <c:pt idx="478">
                  <c:v>1980.0207924737019</c:v>
                </c:pt>
                <c:pt idx="479">
                  <c:v>1985.9705374541638</c:v>
                </c:pt>
                <c:pt idx="480">
                  <c:v>1991.7971355737438</c:v>
                </c:pt>
                <c:pt idx="481">
                  <c:v>1997.5015662461981</c:v>
                </c:pt>
                <c:pt idx="482">
                  <c:v>2003.0847800420711</c:v>
                </c:pt>
                <c:pt idx="483">
                  <c:v>2008.5476994716109</c:v>
                </c:pt>
                <c:pt idx="484">
                  <c:v>2013.8912197362474</c:v>
                </c:pt>
                <c:pt idx="485">
                  <c:v>2019.116209450098</c:v>
                </c:pt>
                <c:pt idx="486">
                  <c:v>2024.2235113328923</c:v>
                </c:pt>
                <c:pt idx="487">
                  <c:v>2029.2139428756429</c:v>
                </c:pt>
                <c:pt idx="488">
                  <c:v>2034.0882969803306</c:v>
                </c:pt>
                <c:pt idx="489">
                  <c:v>2038.8473425748114</c:v>
                </c:pt>
                <c:pt idx="490">
                  <c:v>2043.4918252041105</c:v>
                </c:pt>
                <c:pt idx="491">
                  <c:v>2048.0224675992131</c:v>
                </c:pt>
                <c:pt idx="492">
                  <c:v>2052.43997022443</c:v>
                </c:pt>
                <c:pt idx="493">
                  <c:v>2056.745011804368</c:v>
                </c:pt>
                <c:pt idx="494">
                  <c:v>2060.9382498315153</c:v>
                </c:pt>
                <c:pt idx="495">
                  <c:v>2065.0203210554164</c:v>
                </c:pt>
                <c:pt idx="496">
                  <c:v>2068.9918419543851</c:v>
                </c:pt>
                <c:pt idx="497">
                  <c:v>2072.8534091907018</c:v>
                </c:pt>
                <c:pt idx="498">
                  <c:v>2076.6056000502076</c:v>
                </c:pt>
                <c:pt idx="499">
                  <c:v>2080.2489728672176</c:v>
                </c:pt>
                <c:pt idx="500">
                  <c:v>2083.7840674356667</c:v>
                </c:pt>
                <c:pt idx="501">
                  <c:v>2087.2114054074027</c:v>
                </c:pt>
                <c:pt idx="502">
                  <c:v>2090.5314906785634</c:v>
                </c:pt>
                <c:pt idx="503">
                  <c:v>2093.7448097649776</c:v>
                </c:pt>
                <c:pt idx="504">
                  <c:v>2096.8518321675706</c:v>
                </c:pt>
                <c:pt idx="505">
                  <c:v>2099.8530107287779</c:v>
                </c:pt>
                <c:pt idx="506">
                  <c:v>2102.7487819810194</c:v>
                </c:pt>
                <c:pt idx="507">
                  <c:v>2105.5395664883395</c:v>
                </c:pt>
                <c:pt idx="508">
                  <c:v>2108.2257691823761</c:v>
                </c:pt>
                <c:pt idx="509">
                  <c:v>2110.807779693906</c:v>
                </c:pt>
                <c:pt idx="510">
                  <c:v>2113.2859726812926</c:v>
                </c:pt>
                <c:pt idx="511">
                  <c:v>2115.6607081572611</c:v>
                </c:pt>
                <c:pt idx="512">
                  <c:v>2117.932331815548</c:v>
                </c:pt>
                <c:pt idx="513">
                  <c:v>2120.1011753590815</c:v>
                </c:pt>
                <c:pt idx="514">
                  <c:v>2122.1675568315004</c:v>
                </c:pt>
                <c:pt idx="515">
                  <c:v>2124.1317809539551</c:v>
                </c:pt>
                <c:pt idx="516">
                  <c:v>2125.9941394693001</c:v>
                </c:pt>
                <c:pt idx="517">
                  <c:v>2127.7549114959402</c:v>
                </c:pt>
                <c:pt idx="518">
                  <c:v>2129.4143638937599</c:v>
                </c:pt>
                <c:pt idx="519">
                  <c:v>2130.9727516447097</c:v>
                </c:pt>
                <c:pt idx="520">
                  <c:v>2132.4303182507697</c:v>
                </c:pt>
                <c:pt idx="521">
                  <c:v>2133.7872961521034</c:v>
                </c:pt>
                <c:pt idx="522">
                  <c:v>2135.0439071682822</c:v>
                </c:pt>
                <c:pt idx="523">
                  <c:v>2136.200362965456</c:v>
                </c:pt>
                <c:pt idx="524">
                  <c:v>2137.2568655522532</c:v>
                </c:pt>
                <c:pt idx="525">
                  <c:v>2138.2136078070039</c:v>
                </c:pt>
                <c:pt idx="526">
                  <c:v>2139.0707740385515</c:v>
                </c:pt>
                <c:pt idx="527">
                  <c:v>2139.8285405824527</c:v>
                </c:pt>
                <c:pt idx="528">
                  <c:v>2140.4870764337247</c:v>
                </c:pt>
                <c:pt idx="529">
                  <c:v>2141.0465439165023</c:v>
                </c:pt>
                <c:pt idx="530">
                  <c:v>2141.5070993900003</c:v>
                </c:pt>
                <c:pt idx="531">
                  <c:v>2141.8688939890753</c:v>
                </c:pt>
                <c:pt idx="532">
                  <c:v>2142.1320743964789</c:v>
                </c:pt>
                <c:pt idx="533">
                  <c:v>2142.2967836426533</c:v>
                </c:pt>
                <c:pt idx="534">
                  <c:v>2142.3631619277116</c:v>
                </c:pt>
                <c:pt idx="535">
                  <c:v>2142.3313474591496</c:v>
                </c:pt>
                <c:pt idx="536">
                  <c:v>2142.2014772979314</c:v>
                </c:pt>
                <c:pt idx="537">
                  <c:v>2141.9736882049715</c:v>
                </c:pt>
                <c:pt idx="538">
                  <c:v>2141.6481174797218</c:v>
                </c:pt>
                <c:pt idx="539">
                  <c:v>2141.2249037826227</c:v>
                </c:pt>
                <c:pt idx="540">
                  <c:v>2140.7041879335679</c:v>
                </c:pt>
                <c:pt idx="541">
                  <c:v>2140.0861136792423</c:v>
                </c:pt>
                <c:pt idx="542">
                  <c:v>2139.3708284231539</c:v>
                </c:pt>
                <c:pt idx="543">
                  <c:v>2138.5584839133212</c:v>
                </c:pt>
                <c:pt idx="544">
                  <c:v>2137.6492368838085</c:v>
                </c:pt>
                <c:pt idx="545">
                  <c:v>2136.6432496475531</c:v>
                </c:pt>
                <c:pt idx="546">
                  <c:v>2135.5406906391067</c:v>
                </c:pt>
                <c:pt idx="547">
                  <c:v>2134.3417349070019</c:v>
                </c:pt>
                <c:pt idx="548">
                  <c:v>2133.0465645563636</c:v>
                </c:pt>
                <c:pt idx="549">
                  <c:v>2131.6553691431591</c:v>
                </c:pt>
                <c:pt idx="550">
                  <c:v>2130.1683460220479</c:v>
                </c:pt>
                <c:pt idx="551">
                  <c:v>2128.5857006502288</c:v>
                </c:pt>
                <c:pt idx="552">
                  <c:v>2126.9076468499461</c:v>
                </c:pt>
                <c:pt idx="553">
                  <c:v>2125.1344070324708</c:v>
                </c:pt>
                <c:pt idx="554">
                  <c:v>2123.2662123864152</c:v>
                </c:pt>
                <c:pt idx="555">
                  <c:v>2121.3033030332108</c:v>
                </c:pt>
                <c:pt idx="556">
                  <c:v>2119.2459281524789</c:v>
                </c:pt>
                <c:pt idx="557">
                  <c:v>2117.0943460798962</c:v>
                </c:pt>
                <c:pt idx="558">
                  <c:v>2114.8488243799916</c:v>
                </c:pt>
                <c:pt idx="559">
                  <c:v>2112.5096398961368</c:v>
                </c:pt>
                <c:pt idx="560">
                  <c:v>2110.0770787798115</c:v>
                </c:pt>
                <c:pt idx="561">
                  <c:v>2107.5514365010449</c:v>
                </c:pt>
                <c:pt idx="562">
                  <c:v>2104.9330178417645</c:v>
                </c:pt>
                <c:pt idx="563">
                  <c:v>2102.2221368736127</c:v>
                </c:pt>
                <c:pt idx="564">
                  <c:v>2099.419116921646</c:v>
                </c:pt>
                <c:pt idx="565">
                  <c:v>2096.524290515189</c:v>
                </c:pt>
                <c:pt idx="566">
                  <c:v>2093.5379993269858</c:v>
                </c:pt>
                <c:pt idx="567">
                  <c:v>2090.4605941016771</c:v>
                </c:pt>
                <c:pt idx="568">
                  <c:v>2087.2924345745323</c:v>
                </c:pt>
                <c:pt idx="569">
                  <c:v>2084.0338893812645</c:v>
                </c:pt>
                <c:pt idx="570">
                  <c:v>2080.6853359596807</c:v>
                </c:pt>
                <c:pt idx="571">
                  <c:v>2077.2471604438483</c:v>
                </c:pt>
                <c:pt idx="572">
                  <c:v>2073.7197575513856</c:v>
                </c:pt>
                <c:pt idx="573">
                  <c:v>2070.1035304644356</c:v>
                </c:pt>
                <c:pt idx="574">
                  <c:v>2066.398890704832</c:v>
                </c:pt>
                <c:pt idx="575">
                  <c:v>2062.6062580039134</c:v>
                </c:pt>
                <c:pt idx="576">
                  <c:v>2058.7260601674161</c:v>
                </c:pt>
                <c:pt idx="577">
                  <c:v>2054.7587329358275</c:v>
                </c:pt>
                <c:pt idx="578">
                  <c:v>2050.7047198405635</c:v>
                </c:pt>
                <c:pt idx="579">
                  <c:v>2046.5644720563018</c:v>
                </c:pt>
                <c:pt idx="580">
                  <c:v>2042.3384482497786</c:v>
                </c:pt>
                <c:pt idx="581">
                  <c:v>2038.0271144253359</c:v>
                </c:pt>
                <c:pt idx="582">
                  <c:v>2033.630943767492</c:v>
                </c:pt>
                <c:pt idx="583">
                  <c:v>2029.1504164807866</c:v>
                </c:pt>
                <c:pt idx="584">
                  <c:v>2024.5860196271387</c:v>
                </c:pt>
                <c:pt idx="585">
                  <c:v>2019.938246960945</c:v>
                </c:pt>
                <c:pt idx="586">
                  <c:v>2015.2075987621315</c:v>
                </c:pt>
                <c:pt idx="587">
                  <c:v>2010.3945816673638</c:v>
                </c:pt>
                <c:pt idx="588">
                  <c:v>2005.4997084996087</c:v>
                </c:pt>
                <c:pt idx="589">
                  <c:v>2000.5234980962339</c:v>
                </c:pt>
                <c:pt idx="590">
                  <c:v>1995.4664751358241</c:v>
                </c:pt>
                <c:pt idx="591">
                  <c:v>1990.3291699638842</c:v>
                </c:pt>
                <c:pt idx="592">
                  <c:v>1985.1121184175936</c:v>
                </c:pt>
                <c:pt idx="593">
                  <c:v>1979.8158616497713</c:v>
                </c:pt>
                <c:pt idx="594">
                  <c:v>1974.4409459522028</c:v>
                </c:pt>
                <c:pt idx="595">
                  <c:v>1968.9879225784773</c:v>
                </c:pt>
                <c:pt idx="596">
                  <c:v>1963.4573475664779</c:v>
                </c:pt>
                <c:pt idx="597">
                  <c:v>1957.8497815606615</c:v>
                </c:pt>
                <c:pt idx="598">
                  <c:v>1952.1657896342633</c:v>
                </c:pt>
                <c:pt idx="599">
                  <c:v>1946.4059411115534</c:v>
                </c:pt>
                <c:pt idx="600">
                  <c:v>1940.5708093902715</c:v>
                </c:pt>
                <c:pt idx="601">
                  <c:v>1934.6609717643603</c:v>
                </c:pt>
                <c:pt idx="602">
                  <c:v>1928.6770092471149</c:v>
                </c:pt>
                <c:pt idx="603">
                  <c:v>1922.6195063948624</c:v>
                </c:pt>
                <c:pt idx="604">
                  <c:v>1916.4890511312794</c:v>
                </c:pt>
                <c:pt idx="605">
                  <c:v>1910.2862345724573</c:v>
                </c:pt>
                <c:pt idx="606">
                  <c:v>1904.0116508528142</c:v>
                </c:pt>
                <c:pt idx="607">
                  <c:v>1897.6658969519569</c:v>
                </c:pt>
                <c:pt idx="608">
                  <c:v>1891.2495725225851</c:v>
                </c:pt>
                <c:pt idx="609">
                  <c:v>1884.7632797195338</c:v>
                </c:pt>
                <c:pt idx="610">
                  <c:v>1878.207623030042</c:v>
                </c:pt>
                <c:pt idx="611">
                  <c:v>1871.5832091053342</c:v>
                </c:pt>
                <c:pt idx="612">
                  <c:v>1864.890646593597</c:v>
                </c:pt>
                <c:pt idx="613">
                  <c:v>1858.1305459744324</c:v>
                </c:pt>
                <c:pt idx="614">
                  <c:v>1851.3035193948631</c:v>
                </c:pt>
                <c:pt idx="615">
                  <c:v>1844.4101805069636</c:v>
                </c:pt>
                <c:pt idx="616">
                  <c:v>1837.4511443071888</c:v>
                </c:pt>
                <c:pt idx="617">
                  <c:v>1830.4270269774661</c:v>
                </c:pt>
                <c:pt idx="618">
                  <c:v>1823.3384457281165</c:v>
                </c:pt>
                <c:pt idx="619">
                  <c:v>1816.1860186426659</c:v>
                </c:pt>
                <c:pt idx="620">
                  <c:v>1808.9703645246043</c:v>
                </c:pt>
                <c:pt idx="621">
                  <c:v>1801.6921027461503</c:v>
                </c:pt>
                <c:pt idx="622">
                  <c:v>1794.3518530990718</c:v>
                </c:pt>
                <c:pt idx="623">
                  <c:v>1786.9502356476132</c:v>
                </c:pt>
                <c:pt idx="624">
                  <c:v>1779.4878705835763</c:v>
                </c:pt>
                <c:pt idx="625">
                  <c:v>1771.9653780835988</c:v>
                </c:pt>
                <c:pt idx="626">
                  <c:v>1764.3833781686719</c:v>
                </c:pt>
                <c:pt idx="627">
                  <c:v>1756.7424905659348</c:v>
                </c:pt>
                <c:pt idx="628">
                  <c:v>1749.0433345727824</c:v>
                </c:pt>
                <c:pt idx="629">
                  <c:v>1741.2865289233214</c:v>
                </c:pt>
                <c:pt idx="630">
                  <c:v>1733.4726916572004</c:v>
                </c:pt>
                <c:pt idx="631">
                  <c:v>1725.6024399908474</c:v>
                </c:pt>
                <c:pt idx="632">
                  <c:v>1717.6763901911377</c:v>
                </c:pt>
                <c:pt idx="633">
                  <c:v>1709.695157451514</c:v>
                </c:pt>
                <c:pt idx="634">
                  <c:v>1701.6593557705817</c:v>
                </c:pt>
                <c:pt idx="635">
                  <c:v>1693.5695978331958</c:v>
                </c:pt>
                <c:pt idx="636">
                  <c:v>1685.4264948940558</c:v>
                </c:pt>
                <c:pt idx="637">
                  <c:v>1677.2306566638226</c:v>
                </c:pt>
                <c:pt idx="638">
                  <c:v>1668.9826911977666</c:v>
                </c:pt>
                <c:pt idx="639">
                  <c:v>1660.6832047869586</c:v>
                </c:pt>
                <c:pt idx="640">
                  <c:v>1652.332801852009</c:v>
                </c:pt>
                <c:pt idx="641">
                  <c:v>1643.9320848393602</c:v>
                </c:pt>
                <c:pt idx="642">
                  <c:v>1635.4816541201349</c:v>
                </c:pt>
                <c:pt idx="643">
                  <c:v>1626.9821078915415</c:v>
                </c:pt>
                <c:pt idx="644">
                  <c:v>1618.4340420808355</c:v>
                </c:pt>
                <c:pt idx="645">
                  <c:v>1609.8380502518323</c:v>
                </c:pt>
                <c:pt idx="646">
                  <c:v>1601.1947235139701</c:v>
                </c:pt>
                <c:pt idx="647">
                  <c:v>1592.5046504339118</c:v>
                </c:pt>
                <c:pt idx="648">
                  <c:v>1583.7684169496818</c:v>
                </c:pt>
                <c:pt idx="649">
                  <c:v>1574.986606287325</c:v>
                </c:pt>
                <c:pt idx="650">
                  <c:v>1566.1597988800772</c:v>
                </c:pt>
                <c:pt idx="651">
                  <c:v>1557.2885722900353</c:v>
                </c:pt>
                <c:pt idx="652">
                  <c:v>1548.3735011323104</c:v>
                </c:pt>
                <c:pt idx="653">
                  <c:v>1539.4151570016497</c:v>
                </c:pt>
                <c:pt idx="654">
                  <c:v>1530.4141084015093</c:v>
                </c:pt>
                <c:pt idx="655">
                  <c:v>1521.37092067556</c:v>
                </c:pt>
                <c:pt idx="656">
                  <c:v>1512.2861559416044</c:v>
                </c:pt>
                <c:pt idx="657">
                  <c:v>1503.1603730278871</c:v>
                </c:pt>
                <c:pt idx="658">
                  <c:v>1493.9941274117734</c:v>
                </c:pt>
                <c:pt idx="659">
                  <c:v>1484.787971160775</c:v>
                </c:pt>
                <c:pt idx="660">
                  <c:v>1475.5424528758977</c:v>
                </c:pt>
                <c:pt idx="661">
                  <c:v>1466.2581176372853</c:v>
                </c:pt>
                <c:pt idx="662">
                  <c:v>1456.9355069521355</c:v>
                </c:pt>
                <c:pt idx="663">
                  <c:v>1447.5751587048585</c:v>
                </c:pt>
                <c:pt idx="664">
                  <c:v>1438.177607109453</c:v>
                </c:pt>
                <c:pt idx="665">
                  <c:v>1428.7433826640683</c:v>
                </c:pt>
                <c:pt idx="666">
                  <c:v>1419.2730121077252</c:v>
                </c:pt>
                <c:pt idx="667">
                  <c:v>1409.7670183791652</c:v>
                </c:pt>
                <c:pt idx="668">
                  <c:v>1400.2259205777978</c:v>
                </c:pt>
                <c:pt idx="669">
                  <c:v>1390.6502339267138</c:v>
                </c:pt>
                <c:pt idx="670">
                  <c:v>1381.0404697377337</c:v>
                </c:pt>
                <c:pt idx="671">
                  <c:v>1371.3971353784589</c:v>
                </c:pt>
                <c:pt idx="672">
                  <c:v>1361.7207342412928</c:v>
                </c:pt>
                <c:pt idx="673">
                  <c:v>1352.0117657144003</c:v>
                </c:pt>
                <c:pt idx="674">
                  <c:v>1342.2707251545694</c:v>
                </c:pt>
                <c:pt idx="675">
                  <c:v>1332.4981038619442</c:v>
                </c:pt>
                <c:pt idx="676">
                  <c:v>1322.6943890565935</c:v>
                </c:pt>
                <c:pt idx="677">
                  <c:v>1312.8600638568828</c:v>
                </c:pt>
                <c:pt idx="678">
                  <c:v>1302.9956072596119</c:v>
                </c:pt>
                <c:pt idx="679">
                  <c:v>1293.1014941218875</c:v>
                </c:pt>
                <c:pt idx="680">
                  <c:v>1283.1781951446935</c:v>
                </c:pt>
                <c:pt idx="681">
                  <c:v>1273.2261768581252</c:v>
                </c:pt>
                <c:pt idx="682">
                  <c:v>1263.2459016082523</c:v>
                </c:pt>
                <c:pt idx="683">
                  <c:v>1253.2378275455762</c:v>
                </c:pt>
                <c:pt idx="684">
                  <c:v>1243.2024086150461</c:v>
                </c:pt>
                <c:pt idx="685">
                  <c:v>1233.1400945475993</c:v>
                </c:pt>
                <c:pt idx="686">
                  <c:v>1223.0513308531922</c:v>
                </c:pt>
                <c:pt idx="687">
                  <c:v>1212.9365588152843</c:v>
                </c:pt>
                <c:pt idx="688">
                  <c:v>1202.7962154867434</c:v>
                </c:pt>
                <c:pt idx="689">
                  <c:v>1192.6307336871371</c:v>
                </c:pt>
                <c:pt idx="690">
                  <c:v>1182.4405420013738</c:v>
                </c:pt>
                <c:pt idx="691">
                  <c:v>1172.2260647796636</c:v>
                </c:pt>
                <c:pt idx="692">
                  <c:v>1161.9877221387596</c:v>
                </c:pt>
                <c:pt idx="693">
                  <c:v>1151.7259299644516</c:v>
                </c:pt>
                <c:pt idx="694">
                  <c:v>1141.4410999152735</c:v>
                </c:pt>
                <c:pt idx="695">
                  <c:v>1131.1336394273956</c:v>
                </c:pt>
                <c:pt idx="696">
                  <c:v>1120.8039517206648</c:v>
                </c:pt>
                <c:pt idx="697">
                  <c:v>1110.4524358057643</c:v>
                </c:pt>
                <c:pt idx="698">
                  <c:v>1100.079486492456</c:v>
                </c:pt>
                <c:pt idx="699">
                  <c:v>1089.6854943988781</c:v>
                </c:pt>
                <c:pt idx="700">
                  <c:v>1079.2708459618616</c:v>
                </c:pt>
                <c:pt idx="701">
                  <c:v>1068.8359234482386</c:v>
                </c:pt>
                <c:pt idx="702">
                  <c:v>1058.3811049671087</c:v>
                </c:pt>
                <c:pt idx="703">
                  <c:v>1047.9067644830336</c:v>
                </c:pt>
                <c:pt idx="704">
                  <c:v>1037.41327183013</c:v>
                </c:pt>
                <c:pt idx="705">
                  <c:v>1026.9009927270313</c:v>
                </c:pt>
                <c:pt idx="706">
                  <c:v>1016.370288792687</c:v>
                </c:pt>
                <c:pt idx="707">
                  <c:v>1005.8215175629738</c:v>
                </c:pt>
                <c:pt idx="708">
                  <c:v>995.25503250808617</c:v>
                </c:pt>
                <c:pt idx="709">
                  <c:v>984.67118305068152</c:v>
                </c:pt>
                <c:pt idx="710">
                  <c:v>974.07031458475001</c:v>
                </c:pt>
                <c:pt idx="711">
                  <c:v>963.45276849518302</c:v>
                </c:pt>
                <c:pt idx="712">
                  <c:v>952.81888217801281</c:v>
                </c:pt>
                <c:pt idx="713">
                  <c:v>942.16898906129722</c:v>
                </c:pt>
                <c:pt idx="714">
                  <c:v>931.50341862662356</c:v>
                </c:pt>
                <c:pt idx="715">
                  <c:v>920.82249643120599</c:v>
                </c:pt>
                <c:pt idx="716">
                  <c:v>910.12654413055157</c:v>
                </c:pt>
                <c:pt idx="717">
                  <c:v>899.41587950167013</c:v>
                </c:pt>
                <c:pt idx="718">
                  <c:v>888.69081646680468</c:v>
                </c:pt>
                <c:pt idx="719">
                  <c:v>877.95166511765751</c:v>
                </c:pt>
                <c:pt idx="720">
                  <c:v>867.19873174009001</c:v>
                </c:pt>
                <c:pt idx="721">
                  <c:v>856.4323188392724</c:v>
                </c:pt>
                <c:pt idx="722">
                  <c:v>845.65272516526238</c:v>
                </c:pt>
                <c:pt idx="723">
                  <c:v>834.86024573898987</c:v>
                </c:pt>
                <c:pt idx="724">
                  <c:v>824.05517187862711</c:v>
                </c:pt>
                <c:pt idx="725">
                  <c:v>813.23779122632288</c:v>
                </c:pt>
                <c:pt idx="726">
                  <c:v>802.40838777528097</c:v>
                </c:pt>
                <c:pt idx="727">
                  <c:v>791.56724189716272</c:v>
                </c:pt>
                <c:pt idx="728">
                  <c:v>780.71463036979389</c:v>
                </c:pt>
                <c:pt idx="729">
                  <c:v>769.85082640515725</c:v>
                </c:pt>
                <c:pt idx="730">
                  <c:v>758.97609967765197</c:v>
                </c:pt>
                <c:pt idx="731">
                  <c:v>748.0907163526025</c:v>
                </c:pt>
                <c:pt idx="732">
                  <c:v>737.19493911499774</c:v>
                </c:pt>
                <c:pt idx="733">
                  <c:v>726.28902719844496</c:v>
                </c:pt>
                <c:pt idx="734">
                  <c:v>715.37323641432044</c:v>
                </c:pt>
                <c:pt idx="735">
                  <c:v>704.44781918110107</c:v>
                </c:pt>
                <c:pt idx="736">
                  <c:v>693.51302455386065</c:v>
                </c:pt>
                <c:pt idx="737">
                  <c:v>682.56909825391585</c:v>
                </c:pt>
                <c:pt idx="738">
                  <c:v>671.61628269860569</c:v>
                </c:pt>
                <c:pt idx="739">
                  <c:v>660.65481703119121</c:v>
                </c:pt>
                <c:pt idx="740">
                  <c:v>649.68493715086026</c:v>
                </c:pt>
                <c:pt idx="741">
                  <c:v>638.70687574282306</c:v>
                </c:pt>
                <c:pt idx="742">
                  <c:v>627.7208623084864</c:v>
                </c:pt>
                <c:pt idx="743">
                  <c:v>616.72712319569177</c:v>
                </c:pt>
                <c:pt idx="744">
                  <c:v>605.72588162900615</c:v>
                </c:pt>
                <c:pt idx="745">
                  <c:v>594.71735774005231</c:v>
                </c:pt>
                <c:pt idx="746">
                  <c:v>583.70176859786648</c:v>
                </c:pt>
                <c:pt idx="747">
                  <c:v>572.67932823927288</c:v>
                </c:pt>
                <c:pt idx="748">
                  <c:v>561.6502476992622</c:v>
                </c:pt>
                <c:pt idx="749">
                  <c:v>550.61473504136495</c:v>
                </c:pt>
                <c:pt idx="750">
                  <c:v>539.57299538800794</c:v>
                </c:pt>
                <c:pt idx="751">
                  <c:v>528.52523095084382</c:v>
                </c:pt>
                <c:pt idx="752">
                  <c:v>517.47164106104481</c:v>
                </c:pt>
                <c:pt idx="753">
                  <c:v>506.41242219954938</c:v>
                </c:pt>
                <c:pt idx="754">
                  <c:v>495.34776802725486</c:v>
                </c:pt>
                <c:pt idx="755">
                  <c:v>484.27786941514501</c:v>
                </c:pt>
                <c:pt idx="756">
                  <c:v>473.20291447434539</c:v>
                </c:pt>
                <c:pt idx="757">
                  <c:v>462.12308858609782</c:v>
                </c:pt>
                <c:pt idx="758">
                  <c:v>451.03857443164594</c:v>
                </c:pt>
                <c:pt idx="759">
                  <c:v>439.94955202202442</c:v>
                </c:pt>
                <c:pt idx="760">
                  <c:v>428.85619872774407</c:v>
                </c:pt>
                <c:pt idx="761">
                  <c:v>417.75868930836646</c:v>
                </c:pt>
                <c:pt idx="762">
                  <c:v>406.65719594196048</c:v>
                </c:pt>
                <c:pt idx="763">
                  <c:v>395.5518882544348</c:v>
                </c:pt>
                <c:pt idx="764">
                  <c:v>384.44293334874004</c:v>
                </c:pt>
                <c:pt idx="765">
                  <c:v>373.33049583393421</c:v>
                </c:pt>
                <c:pt idx="766">
                  <c:v>362.21473785410598</c:v>
                </c:pt>
                <c:pt idx="767">
                  <c:v>351.09581911715037</c:v>
                </c:pt>
                <c:pt idx="768">
                  <c:v>339.97389692339129</c:v>
                </c:pt>
                <c:pt idx="769">
                  <c:v>328.84912619404622</c:v>
                </c:pt>
                <c:pt idx="770">
                  <c:v>317.72165949952807</c:v>
                </c:pt>
                <c:pt idx="771">
                  <c:v>306.5916470875797</c:v>
                </c:pt>
                <c:pt idx="772">
                  <c:v>295.45923691123659</c:v>
                </c:pt>
                <c:pt idx="773">
                  <c:v>284.32457465661412</c:v>
                </c:pt>
                <c:pt idx="774">
                  <c:v>273.18780377051456</c:v>
                </c:pt>
                <c:pt idx="775">
                  <c:v>262.04906548785118</c:v>
                </c:pt>
                <c:pt idx="776">
                  <c:v>250.90849885888483</c:v>
                </c:pt>
                <c:pt idx="777">
                  <c:v>239.76624077627068</c:v>
                </c:pt>
                <c:pt idx="778">
                  <c:v>228.62242600191129</c:v>
                </c:pt>
                <c:pt idx="779">
                  <c:v>217.47718719361336</c:v>
                </c:pt>
                <c:pt idx="780">
                  <c:v>206.3306549315453</c:v>
                </c:pt>
                <c:pt idx="781">
                  <c:v>195.18295774449305</c:v>
                </c:pt>
                <c:pt idx="782">
                  <c:v>184.03422213591168</c:v>
                </c:pt>
                <c:pt idx="783">
                  <c:v>172.88457260977054</c:v>
                </c:pt>
                <c:pt idx="784">
                  <c:v>161.73413169618982</c:v>
                </c:pt>
                <c:pt idx="785">
                  <c:v>150.58301997686652</c:v>
                </c:pt>
                <c:pt idx="786">
                  <c:v>139.43135611028811</c:v>
                </c:pt>
                <c:pt idx="787">
                  <c:v>128.27925685673213</c:v>
                </c:pt>
                <c:pt idx="788">
                  <c:v>117.12683710305035</c:v>
                </c:pt>
                <c:pt idx="789">
                  <c:v>105.97420988723582</c:v>
                </c:pt>
                <c:pt idx="790">
                  <c:v>94.821486422771898</c:v>
                </c:pt>
                <c:pt idx="791">
                  <c:v>83.668776122761912</c:v>
                </c:pt>
                <c:pt idx="792">
                  <c:v>72.51618662383845</c:v>
                </c:pt>
                <c:pt idx="793">
                  <c:v>61.363823809851567</c:v>
                </c:pt>
                <c:pt idx="794">
                  <c:v>50.211791835334935</c:v>
                </c:pt>
                <c:pt idx="795">
                  <c:v>39.060193148749448</c:v>
                </c:pt>
                <c:pt idx="796">
                  <c:v>27.909128515503639</c:v>
                </c:pt>
                <c:pt idx="797">
                  <c:v>16.758697040750533</c:v>
                </c:pt>
                <c:pt idx="798">
                  <c:v>5.6089961919605429</c:v>
                </c:pt>
                <c:pt idx="799">
                  <c:v>-5.5398781787297828</c:v>
                </c:pt>
                <c:pt idx="800">
                  <c:v>-5.5510266156151804</c:v>
                </c:pt>
                <c:pt idx="801">
                  <c:v>-5.5621750515330612</c:v>
                </c:pt>
                <c:pt idx="802">
                  <c:v>-5.5733234864833339</c:v>
                </c:pt>
                <c:pt idx="803">
                  <c:v>-5.5844719204659059</c:v>
                </c:pt>
                <c:pt idx="804">
                  <c:v>-5.595620353480685</c:v>
                </c:pt>
                <c:pt idx="805">
                  <c:v>-5.6067687855275796</c:v>
                </c:pt>
                <c:pt idx="806">
                  <c:v>-5.6179172166064983</c:v>
                </c:pt>
                <c:pt idx="807">
                  <c:v>-5.6290656467173488</c:v>
                </c:pt>
                <c:pt idx="808">
                  <c:v>-5.6402140758600394</c:v>
                </c:pt>
                <c:pt idx="809">
                  <c:v>-5.6513625040344788</c:v>
                </c:pt>
                <c:pt idx="810">
                  <c:v>-5.6625109312405746</c:v>
                </c:pt>
                <c:pt idx="811">
                  <c:v>-5.6736593574782344</c:v>
                </c:pt>
                <c:pt idx="812">
                  <c:v>-5.6848077827473666</c:v>
                </c:pt>
                <c:pt idx="813">
                  <c:v>-5.69595620704788</c:v>
                </c:pt>
                <c:pt idx="814">
                  <c:v>-5.7071046303796829</c:v>
                </c:pt>
                <c:pt idx="815">
                  <c:v>-5.7182530527426829</c:v>
                </c:pt>
                <c:pt idx="816">
                  <c:v>-5.7294014741367878</c:v>
                </c:pt>
                <c:pt idx="817">
                  <c:v>-5.740549894561906</c:v>
                </c:pt>
                <c:pt idx="818">
                  <c:v>-5.7516983140179461</c:v>
                </c:pt>
                <c:pt idx="819">
                  <c:v>-5.7628467325048165</c:v>
                </c:pt>
                <c:pt idx="820">
                  <c:v>-5.7739951500224249</c:v>
                </c:pt>
                <c:pt idx="821">
                  <c:v>-5.785143566570679</c:v>
                </c:pt>
                <c:pt idx="822">
                  <c:v>-5.7962919821494872</c:v>
                </c:pt>
                <c:pt idx="823">
                  <c:v>-5.807440396758758</c:v>
                </c:pt>
                <c:pt idx="824">
                  <c:v>-5.8185888103984</c:v>
                </c:pt>
                <c:pt idx="825">
                  <c:v>-5.8297372230683209</c:v>
                </c:pt>
                <c:pt idx="826">
                  <c:v>-5.8408856347684281</c:v>
                </c:pt>
                <c:pt idx="827">
                  <c:v>-5.8520340454986304</c:v>
                </c:pt>
                <c:pt idx="828">
                  <c:v>-5.8631824552588361</c:v>
                </c:pt>
                <c:pt idx="829">
                  <c:v>-5.8743308640489538</c:v>
                </c:pt>
                <c:pt idx="830">
                  <c:v>-5.8854792718688911</c:v>
                </c:pt>
                <c:pt idx="831">
                  <c:v>-5.8966276787185565</c:v>
                </c:pt>
                <c:pt idx="832">
                  <c:v>-5.9077760845978577</c:v>
                </c:pt>
                <c:pt idx="833">
                  <c:v>-5.9189244895067032</c:v>
                </c:pt>
                <c:pt idx="834">
                  <c:v>-5.9300728934450015</c:v>
                </c:pt>
                <c:pt idx="835">
                  <c:v>-5.9412212964126603</c:v>
                </c:pt>
                <c:pt idx="836">
                  <c:v>-5.952369698409588</c:v>
                </c:pt>
                <c:pt idx="837">
                  <c:v>-5.9635180994356922</c:v>
                </c:pt>
                <c:pt idx="838">
                  <c:v>-5.9746664994908816</c:v>
                </c:pt>
                <c:pt idx="839">
                  <c:v>-5.9858148985750645</c:v>
                </c:pt>
                <c:pt idx="840">
                  <c:v>-5.9969632966881488</c:v>
                </c:pt>
                <c:pt idx="841">
                  <c:v>-6.0081116938300427</c:v>
                </c:pt>
                <c:pt idx="842">
                  <c:v>-6.019260090000655</c:v>
                </c:pt>
                <c:pt idx="843">
                  <c:v>-6.0304084851998931</c:v>
                </c:pt>
                <c:pt idx="844">
                  <c:v>-6.0415568794276657</c:v>
                </c:pt>
                <c:pt idx="845">
                  <c:v>-6.0527052726838813</c:v>
                </c:pt>
                <c:pt idx="846">
                  <c:v>-6.0638536649684474</c:v>
                </c:pt>
                <c:pt idx="847">
                  <c:v>-6.0750020562812725</c:v>
                </c:pt>
                <c:pt idx="848">
                  <c:v>-6.0861504466222645</c:v>
                </c:pt>
                <c:pt idx="849">
                  <c:v>-6.0972988359913325</c:v>
                </c:pt>
                <c:pt idx="850">
                  <c:v>-6.1084472243883843</c:v>
                </c:pt>
                <c:pt idx="851">
                  <c:v>-6.1195956118133275</c:v>
                </c:pt>
                <c:pt idx="852">
                  <c:v>-6.1307439982660705</c:v>
                </c:pt>
                <c:pt idx="853">
                  <c:v>-6.141892383746522</c:v>
                </c:pt>
                <c:pt idx="854">
                  <c:v>-6.1530407682545896</c:v>
                </c:pt>
                <c:pt idx="855">
                  <c:v>-6.1641891517901826</c:v>
                </c:pt>
                <c:pt idx="856">
                  <c:v>-6.1753375343532078</c:v>
                </c:pt>
                <c:pt idx="857">
                  <c:v>-6.1864859159435746</c:v>
                </c:pt>
                <c:pt idx="858">
                  <c:v>-6.1976342965611906</c:v>
                </c:pt>
                <c:pt idx="859">
                  <c:v>-6.2087826762059644</c:v>
                </c:pt>
                <c:pt idx="860">
                  <c:v>-6.2199310548778035</c:v>
                </c:pt>
                <c:pt idx="861">
                  <c:v>-6.2310794325766166</c:v>
                </c:pt>
                <c:pt idx="862">
                  <c:v>-6.242227809302312</c:v>
                </c:pt>
                <c:pt idx="863">
                  <c:v>-6.2533761850547984</c:v>
                </c:pt>
                <c:pt idx="864">
                  <c:v>-6.2645245598339834</c:v>
                </c:pt>
                <c:pt idx="865">
                  <c:v>-6.2756729336397754</c:v>
                </c:pt>
                <c:pt idx="866">
                  <c:v>-6.2868213064720821</c:v>
                </c:pt>
                <c:pt idx="867">
                  <c:v>-6.297969678330813</c:v>
                </c:pt>
                <c:pt idx="868">
                  <c:v>-6.3091180492158747</c:v>
                </c:pt>
                <c:pt idx="869">
                  <c:v>-6.3202664191271767</c:v>
                </c:pt>
                <c:pt idx="870">
                  <c:v>-6.3314147880646265</c:v>
                </c:pt>
                <c:pt idx="871">
                  <c:v>-6.3425631560281328</c:v>
                </c:pt>
                <c:pt idx="872">
                  <c:v>-6.353711523017604</c:v>
                </c:pt>
                <c:pt idx="873">
                  <c:v>-6.3648598890329477</c:v>
                </c:pt>
                <c:pt idx="874">
                  <c:v>-6.3760082540740726</c:v>
                </c:pt>
                <c:pt idx="875">
                  <c:v>-6.387156618140887</c:v>
                </c:pt>
                <c:pt idx="876">
                  <c:v>-6.3983049812332986</c:v>
                </c:pt>
                <c:pt idx="877">
                  <c:v>-6.4094533433512169</c:v>
                </c:pt>
                <c:pt idx="878">
                  <c:v>-6.4206017044945485</c:v>
                </c:pt>
                <c:pt idx="879">
                  <c:v>-6.4317500646632029</c:v>
                </c:pt>
                <c:pt idx="880">
                  <c:v>-6.4428984238570877</c:v>
                </c:pt>
                <c:pt idx="881">
                  <c:v>-6.4540467820761114</c:v>
                </c:pt>
                <c:pt idx="882">
                  <c:v>-6.4651951393201825</c:v>
                </c:pt>
                <c:pt idx="883">
                  <c:v>-6.4763434955892087</c:v>
                </c:pt>
                <c:pt idx="884">
                  <c:v>-6.4874918508830985</c:v>
                </c:pt>
                <c:pt idx="885">
                  <c:v>-6.4986402052017604</c:v>
                </c:pt>
                <c:pt idx="886">
                  <c:v>-6.509788558545103</c:v>
                </c:pt>
                <c:pt idx="887">
                  <c:v>-6.5209369109130337</c:v>
                </c:pt>
                <c:pt idx="888">
                  <c:v>-6.5320852623054613</c:v>
                </c:pt>
                <c:pt idx="889">
                  <c:v>-6.5432336127222941</c:v>
                </c:pt>
                <c:pt idx="890">
                  <c:v>-6.5543819621634398</c:v>
                </c:pt>
                <c:pt idx="891">
                  <c:v>-6.565530310628807</c:v>
                </c:pt>
                <c:pt idx="892">
                  <c:v>-6.5766786581183041</c:v>
                </c:pt>
                <c:pt idx="893">
                  <c:v>-6.5878270046318397</c:v>
                </c:pt>
                <c:pt idx="894">
                  <c:v>-6.5989753501693214</c:v>
                </c:pt>
                <c:pt idx="895">
                  <c:v>-6.6101236947306576</c:v>
                </c:pt>
                <c:pt idx="896">
                  <c:v>-6.6212720383157571</c:v>
                </c:pt>
                <c:pt idx="897">
                  <c:v>-6.6324203809245272</c:v>
                </c:pt>
                <c:pt idx="898">
                  <c:v>-6.6435687225568767</c:v>
                </c:pt>
                <c:pt idx="899">
                  <c:v>-6.6547170632127139</c:v>
                </c:pt>
                <c:pt idx="900">
                  <c:v>-6.6658654028919475</c:v>
                </c:pt>
                <c:pt idx="901">
                  <c:v>-6.6770137415944859</c:v>
                </c:pt>
                <c:pt idx="902">
                  <c:v>-6.6881620793202368</c:v>
                </c:pt>
                <c:pt idx="903">
                  <c:v>-6.6993104160691086</c:v>
                </c:pt>
                <c:pt idx="904">
                  <c:v>-6.710458751841009</c:v>
                </c:pt>
                <c:pt idx="905">
                  <c:v>-6.7216070866358475</c:v>
                </c:pt>
                <c:pt idx="906">
                  <c:v>-6.7327554204535316</c:v>
                </c:pt>
                <c:pt idx="907">
                  <c:v>-6.7439037532939698</c:v>
                </c:pt>
                <c:pt idx="908">
                  <c:v>-6.7550520851570708</c:v>
                </c:pt>
                <c:pt idx="909">
                  <c:v>-6.766200416042742</c:v>
                </c:pt>
                <c:pt idx="910">
                  <c:v>-6.7773487459508921</c:v>
                </c:pt>
                <c:pt idx="911">
                  <c:v>-6.7884970748814295</c:v>
                </c:pt>
                <c:pt idx="912">
                  <c:v>-6.7996454028342628</c:v>
                </c:pt>
                <c:pt idx="913">
                  <c:v>-6.8107937298093004</c:v>
                </c:pt>
                <c:pt idx="914">
                  <c:v>-6.8219420558064501</c:v>
                </c:pt>
                <c:pt idx="915">
                  <c:v>-6.8330903808256203</c:v>
                </c:pt>
                <c:pt idx="916">
                  <c:v>-6.8442387048667195</c:v>
                </c:pt>
                <c:pt idx="917">
                  <c:v>-6.8553870279296554</c:v>
                </c:pt>
                <c:pt idx="918">
                  <c:v>-6.8665353500143373</c:v>
                </c:pt>
                <c:pt idx="919">
                  <c:v>-6.877683671120673</c:v>
                </c:pt>
                <c:pt idx="920">
                  <c:v>-6.8888319912485709</c:v>
                </c:pt>
                <c:pt idx="921">
                  <c:v>-6.8999803103979387</c:v>
                </c:pt>
                <c:pt idx="922">
                  <c:v>-6.9111286285686857</c:v>
                </c:pt>
                <c:pt idx="923">
                  <c:v>-6.9222769457607196</c:v>
                </c:pt>
                <c:pt idx="924">
                  <c:v>-6.9334252619739489</c:v>
                </c:pt>
                <c:pt idx="925">
                  <c:v>-6.9445735772082822</c:v>
                </c:pt>
                <c:pt idx="926">
                  <c:v>-6.955721891463627</c:v>
                </c:pt>
                <c:pt idx="927">
                  <c:v>-6.9668702047398927</c:v>
                </c:pt>
                <c:pt idx="928">
                  <c:v>-6.9780185170369871</c:v>
                </c:pt>
                <c:pt idx="929">
                  <c:v>-6.9891668283548185</c:v>
                </c:pt>
                <c:pt idx="930">
                  <c:v>-7.0003151386932947</c:v>
                </c:pt>
                <c:pt idx="931">
                  <c:v>-7.011463448052325</c:v>
                </c:pt>
                <c:pt idx="932">
                  <c:v>-7.0226117564318171</c:v>
                </c:pt>
                <c:pt idx="933">
                  <c:v>-7.0337600638316795</c:v>
                </c:pt>
                <c:pt idx="934">
                  <c:v>-7.0449083702518207</c:v>
                </c:pt>
                <c:pt idx="935">
                  <c:v>-7.0560566756921492</c:v>
                </c:pt>
                <c:pt idx="936">
                  <c:v>-7.0672049801525736</c:v>
                </c:pt>
                <c:pt idx="937">
                  <c:v>-7.0783532836330014</c:v>
                </c:pt>
                <c:pt idx="938">
                  <c:v>-7.0895015861333412</c:v>
                </c:pt>
                <c:pt idx="939">
                  <c:v>-7.1006498876535016</c:v>
                </c:pt>
                <c:pt idx="940">
                  <c:v>-7.1117981881933909</c:v>
                </c:pt>
                <c:pt idx="941">
                  <c:v>-7.1229464877529169</c:v>
                </c:pt>
                <c:pt idx="942">
                  <c:v>-7.134094786331989</c:v>
                </c:pt>
                <c:pt idx="943">
                  <c:v>-7.1452430839305148</c:v>
                </c:pt>
                <c:pt idx="944">
                  <c:v>-7.1563913805484027</c:v>
                </c:pt>
                <c:pt idx="945">
                  <c:v>-7.1675396761855614</c:v>
                </c:pt>
                <c:pt idx="946">
                  <c:v>-7.1786879708418985</c:v>
                </c:pt>
                <c:pt idx="947">
                  <c:v>-7.1898362645173233</c:v>
                </c:pt>
                <c:pt idx="948">
                  <c:v>-7.2009845572117435</c:v>
                </c:pt>
                <c:pt idx="949">
                  <c:v>-7.2121328489250676</c:v>
                </c:pt>
                <c:pt idx="950">
                  <c:v>-7.2232811396572041</c:v>
                </c:pt>
                <c:pt idx="951">
                  <c:v>-7.2344294294080616</c:v>
                </c:pt>
                <c:pt idx="952">
                  <c:v>-7.2455777181775476</c:v>
                </c:pt>
                <c:pt idx="953">
                  <c:v>-7.2567260059655716</c:v>
                </c:pt>
                <c:pt idx="954">
                  <c:v>-7.2678742927720412</c:v>
                </c:pt>
                <c:pt idx="955">
                  <c:v>-7.279022578596865</c:v>
                </c:pt>
                <c:pt idx="956">
                  <c:v>-7.2901708634399514</c:v>
                </c:pt>
                <c:pt idx="957">
                  <c:v>-7.3013191473012089</c:v>
                </c:pt>
                <c:pt idx="958">
                  <c:v>-7.3124674301805452</c:v>
                </c:pt>
                <c:pt idx="959">
                  <c:v>-7.3236157120778698</c:v>
                </c:pt>
                <c:pt idx="960">
                  <c:v>-7.3347639929930901</c:v>
                </c:pt>
                <c:pt idx="961">
                  <c:v>-7.3459122729261148</c:v>
                </c:pt>
                <c:pt idx="962">
                  <c:v>-7.3570605518768524</c:v>
                </c:pt>
                <c:pt idx="963">
                  <c:v>-7.3682088298452113</c:v>
                </c:pt>
                <c:pt idx="964">
                  <c:v>-7.3793571068310992</c:v>
                </c:pt>
                <c:pt idx="965">
                  <c:v>-7.3905053828344256</c:v>
                </c:pt>
                <c:pt idx="966">
                  <c:v>-7.401653657855098</c:v>
                </c:pt>
                <c:pt idx="967">
                  <c:v>-7.4128019318930258</c:v>
                </c:pt>
                <c:pt idx="968">
                  <c:v>-7.4239502049481167</c:v>
                </c:pt>
                <c:pt idx="969">
                  <c:v>-7.4350984770202793</c:v>
                </c:pt>
                <c:pt idx="970">
                  <c:v>-7.446246748109421</c:v>
                </c:pt>
                <c:pt idx="971">
                  <c:v>-7.4573950182154514</c:v>
                </c:pt>
                <c:pt idx="972">
                  <c:v>-7.4685432873382789</c:v>
                </c:pt>
                <c:pt idx="973">
                  <c:v>-7.4796915554778112</c:v>
                </c:pt>
                <c:pt idx="974">
                  <c:v>-7.4908398226339568</c:v>
                </c:pt>
                <c:pt idx="975">
                  <c:v>-7.5019880888066242</c:v>
                </c:pt>
                <c:pt idx="976">
                  <c:v>-7.5131363539957219</c:v>
                </c:pt>
                <c:pt idx="977">
                  <c:v>-7.5242846182011585</c:v>
                </c:pt>
                <c:pt idx="978">
                  <c:v>-7.5354328814228424</c:v>
                </c:pt>
                <c:pt idx="979">
                  <c:v>-7.5465811436606822</c:v>
                </c:pt>
                <c:pt idx="980">
                  <c:v>-7.5577294049145856</c:v>
                </c:pt>
                <c:pt idx="981">
                  <c:v>-7.5688776651844618</c:v>
                </c:pt>
                <c:pt idx="982">
                  <c:v>-7.5800259244702186</c:v>
                </c:pt>
                <c:pt idx="983">
                  <c:v>-7.5911741827717645</c:v>
                </c:pt>
                <c:pt idx="984">
                  <c:v>-7.6023224400890079</c:v>
                </c:pt>
                <c:pt idx="985">
                  <c:v>-7.6134706964218575</c:v>
                </c:pt>
                <c:pt idx="986">
                  <c:v>-7.6246189517702216</c:v>
                </c:pt>
                <c:pt idx="987">
                  <c:v>-7.6357672061340081</c:v>
                </c:pt>
                <c:pt idx="988">
                  <c:v>-7.6469154595131261</c:v>
                </c:pt>
                <c:pt idx="989">
                  <c:v>-7.6580637119074844</c:v>
                </c:pt>
                <c:pt idx="990">
                  <c:v>-7.6692119633169904</c:v>
                </c:pt>
                <c:pt idx="991">
                  <c:v>-7.6803602137415528</c:v>
                </c:pt>
                <c:pt idx="992">
                  <c:v>-7.6915084631810799</c:v>
                </c:pt>
                <c:pt idx="993">
                  <c:v>-7.7026567116354805</c:v>
                </c:pt>
                <c:pt idx="994">
                  <c:v>-7.7138049591046629</c:v>
                </c:pt>
                <c:pt idx="995">
                  <c:v>-7.7249532055885357</c:v>
                </c:pt>
                <c:pt idx="996">
                  <c:v>-7.7361014510870074</c:v>
                </c:pt>
                <c:pt idx="997">
                  <c:v>-7.7472496955999866</c:v>
                </c:pt>
                <c:pt idx="998">
                  <c:v>-7.7583979391273807</c:v>
                </c:pt>
                <c:pt idx="999">
                  <c:v>-7.7695461816690994</c:v>
                </c:pt>
                <c:pt idx="1000">
                  <c:v>-7.7806944232250501</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0</c:v>
                </c:pt>
                <c:pt idx="1">
                  <c:v>0.17363569688694569</c:v>
                </c:pt>
                <c:pt idx="2">
                  <c:v>0.34750386560925328</c:v>
                </c:pt>
                <c:pt idx="3">
                  <c:v>0.52211923500345592</c:v>
                </c:pt>
                <c:pt idx="4">
                  <c:v>0.69799637021569372</c:v>
                </c:pt>
                <c:pt idx="5">
                  <c:v>0.87573383083647349</c:v>
                </c:pt>
                <c:pt idx="6">
                  <c:v>1.0558009851432721</c:v>
                </c:pt>
                <c:pt idx="7">
                  <c:v>1.2383233442238872</c:v>
                </c:pt>
                <c:pt idx="8">
                  <c:v>1.4232957314156194</c:v>
                </c:pt>
                <c:pt idx="9">
                  <c:v>1.6107128865651981</c:v>
                </c:pt>
                <c:pt idx="10">
                  <c:v>1.80056946725103</c:v>
                </c:pt>
                <c:pt idx="11">
                  <c:v>1.9928600499772187</c:v>
                </c:pt>
                <c:pt idx="12">
                  <c:v>2.1875791313409199</c:v>
                </c:pt>
                <c:pt idx="13">
                  <c:v>2.3847211291744927</c:v>
                </c:pt>
                <c:pt idx="14">
                  <c:v>2.584280383663812</c:v>
                </c:pt>
                <c:pt idx="15">
                  <c:v>2.7862511584440135</c:v>
                </c:pt>
                <c:pt idx="16">
                  <c:v>2.9906276416738713</c:v>
                </c:pt>
                <c:pt idx="17">
                  <c:v>3.1974039470899114</c:v>
                </c:pt>
                <c:pt idx="18">
                  <c:v>3.4065741150413151</c:v>
                </c:pt>
                <c:pt idx="19">
                  <c:v>3.6181321135065829</c:v>
                </c:pt>
                <c:pt idx="20">
                  <c:v>3.8320718390928801</c:v>
                </c:pt>
                <c:pt idx="21">
                  <c:v>4.0483871180189155</c:v>
                </c:pt>
                <c:pt idx="22">
                  <c:v>4.2670717070821658</c:v>
                </c:pt>
                <c:pt idx="23">
                  <c:v>4.4881192946111952</c:v>
                </c:pt>
                <c:pt idx="24">
                  <c:v>4.7115235014037813</c:v>
                </c:pt>
                <c:pt idx="25">
                  <c:v>4.9372778816515117</c:v>
                </c:pt>
                <c:pt idx="26">
                  <c:v>5.1653759238514745</c:v>
                </c:pt>
                <c:pt idx="27">
                  <c:v>5.3958110517056364</c:v>
                </c:pt>
                <c:pt idx="28">
                  <c:v>5.6285766250084466</c:v>
                </c:pt>
                <c:pt idx="29">
                  <c:v>5.863665940523199</c:v>
                </c:pt>
                <c:pt idx="30">
                  <c:v>6.1010722328476295</c:v>
                </c:pt>
                <c:pt idx="31">
                  <c:v>6.3407886752692111</c:v>
                </c:pt>
                <c:pt idx="32">
                  <c:v>6.582808380610575</c:v>
                </c:pt>
                <c:pt idx="33">
                  <c:v>6.8271244020654622</c:v>
                </c:pt>
                <c:pt idx="34">
                  <c:v>7.0737297340255907</c:v>
                </c:pt>
                <c:pt idx="35">
                  <c:v>7.322617312898787</c:v>
                </c:pt>
                <c:pt idx="36">
                  <c:v>7.5737800179187325</c:v>
                </c:pt>
                <c:pt idx="37">
                  <c:v>7.8272106719466246</c:v>
                </c:pt>
                <c:pt idx="38">
                  <c:v>8.082902042265065</c:v>
                </c:pt>
                <c:pt idx="39">
                  <c:v>8.3408468413644439</c:v>
                </c:pt>
                <c:pt idx="40">
                  <c:v>8.6010377277220975</c:v>
                </c:pt>
                <c:pt idx="41">
                  <c:v>8.8634673065744654</c:v>
                </c:pt>
                <c:pt idx="42">
                  <c:v>9.1281281306825033</c:v>
                </c:pt>
                <c:pt idx="43">
                  <c:v>9.3950127010905504</c:v>
                </c:pt>
                <c:pt idx="44">
                  <c:v>9.6641134678788774</c:v>
                </c:pt>
                <c:pt idx="45">
                  <c:v>9.9354228309100812</c:v>
                </c:pt>
                <c:pt idx="46">
                  <c:v>10.208933140569533</c:v>
                </c:pt>
                <c:pt idx="47">
                  <c:v>10.484636698500042</c:v>
                </c:pt>
                <c:pt idx="48">
                  <c:v>10.762525758330881</c:v>
                </c:pt>
                <c:pt idx="49">
                  <c:v>11.042592526401345</c:v>
                </c:pt>
                <c:pt idx="50">
                  <c:v>11.324829162478968</c:v>
                </c:pt>
                <c:pt idx="51">
                  <c:v>11.609228499767596</c:v>
                </c:pt>
                <c:pt idx="52">
                  <c:v>11.895784766577238</c:v>
                </c:pt>
                <c:pt idx="53">
                  <c:v>12.184492869135722</c:v>
                </c:pt>
                <c:pt idx="54">
                  <c:v>12.475347672627599</c:v>
                </c:pt>
                <c:pt idx="55">
                  <c:v>12.768344001686508</c:v>
                </c:pt>
                <c:pt idx="56">
                  <c:v>13.063476640884916</c:v>
                </c:pt>
                <c:pt idx="57">
                  <c:v>13.360740335221337</c:v>
                </c:pt>
                <c:pt idx="58">
                  <c:v>13.660129790605049</c:v>
                </c:pt>
                <c:pt idx="59">
                  <c:v>13.961639674338421</c:v>
                </c:pt>
                <c:pt idx="60">
                  <c:v>14.265264615596863</c:v>
                </c:pt>
                <c:pt idx="61">
                  <c:v>14.570999205906478</c:v>
                </c:pt>
                <c:pt idx="62">
                  <c:v>14.878837999619465</c:v>
                </c:pt>
                <c:pt idx="63">
                  <c:v>15.188775514387306</c:v>
                </c:pt>
                <c:pt idx="64">
                  <c:v>15.500806231631787</c:v>
                </c:pt>
                <c:pt idx="65">
                  <c:v>15.814924597013903</c:v>
                </c:pt>
                <c:pt idx="66">
                  <c:v>16.131125020900672</c:v>
                </c:pt>
                <c:pt idx="67">
                  <c:v>16.449401878829889</c:v>
                </c:pt>
                <c:pt idx="68">
                  <c:v>16.769749511972861</c:v>
                </c:pt>
                <c:pt idx="69">
                  <c:v>17.092162227595168</c:v>
                </c:pt>
                <c:pt idx="70">
                  <c:v>17.41663429951543</c:v>
                </c:pt>
                <c:pt idx="71">
                  <c:v>17.743159968562146</c:v>
                </c:pt>
                <c:pt idx="72">
                  <c:v>18.071733443028631</c:v>
                </c:pt>
                <c:pt idx="73">
                  <c:v>18.402348899126018</c:v>
                </c:pt>
                <c:pt idx="74">
                  <c:v>18.735000481434415</c:v>
                </c:pt>
                <c:pt idx="75">
                  <c:v>19.069682303352181</c:v>
                </c:pt>
                <c:pt idx="76">
                  <c:v>19.406388447543357</c:v>
                </c:pt>
                <c:pt idx="77">
                  <c:v>19.74511296638326</c:v>
                </c:pt>
                <c:pt idx="78">
                  <c:v>20.08584988240225</c:v>
                </c:pt>
                <c:pt idx="79">
                  <c:v>20.428593188727692</c:v>
                </c:pt>
                <c:pt idx="80">
                  <c:v>20.773336849524092</c:v>
                </c:pt>
                <c:pt idx="81">
                  <c:v>21.120074800431457</c:v>
                </c:pt>
                <c:pt idx="82">
                  <c:v>21.468800949001835</c:v>
                </c:pt>
                <c:pt idx="83">
                  <c:v>21.819509175134087</c:v>
                </c:pt>
                <c:pt idx="84">
                  <c:v>22.172193331506865</c:v>
                </c:pt>
                <c:pt idx="85">
                  <c:v>22.52684724400979</c:v>
                </c:pt>
                <c:pt idx="86">
                  <c:v>22.883464712172874</c:v>
                </c:pt>
                <c:pt idx="87">
                  <c:v>23.242039509594132</c:v>
                </c:pt>
                <c:pt idx="88">
                  <c:v>23.602565384365427</c:v>
                </c:pt>
                <c:pt idx="89">
                  <c:v>23.965036059496516</c:v>
                </c:pt>
                <c:pt idx="90">
                  <c:v>24.329445233337314</c:v>
                </c:pt>
                <c:pt idx="91">
                  <c:v>24.695786579998359</c:v>
                </c:pt>
                <c:pt idx="92">
                  <c:v>25.064053749769489</c:v>
                </c:pt>
                <c:pt idx="93">
                  <c:v>25.434240369536703</c:v>
                </c:pt>
                <c:pt idx="94">
                  <c:v>25.806340043197224</c:v>
                </c:pt>
                <c:pt idx="95">
                  <c:v>26.18034635207275</c:v>
                </c:pt>
                <c:pt idx="96">
                  <c:v>26.556252855320871</c:v>
                </c:pt>
                <c:pt idx="97">
                  <c:v>26.934053090344673</c:v>
                </c:pt>
                <c:pt idx="98">
                  <c:v>27.313740573200494</c:v>
                </c:pt>
                <c:pt idx="99">
                  <c:v>27.69530879900384</c:v>
                </c:pt>
                <c:pt idx="100">
                  <c:v>28.078751242333453</c:v>
                </c:pt>
                <c:pt idx="101">
                  <c:v>28.464061013156286</c:v>
                </c:pt>
                <c:pt idx="102">
                  <c:v>28.851230512426945</c:v>
                </c:pt>
                <c:pt idx="103">
                  <c:v>29.240251777111567</c:v>
                </c:pt>
                <c:pt idx="104">
                  <c:v>29.631116825570519</c:v>
                </c:pt>
                <c:pt idx="105">
                  <c:v>30.023817658026793</c:v>
                </c:pt>
                <c:pt idx="106">
                  <c:v>30.418346257031658</c:v>
                </c:pt>
                <c:pt idx="107">
                  <c:v>30.814694587927544</c:v>
                </c:pt>
                <c:pt idx="108">
                  <c:v>31.212854599308155</c:v>
                </c:pt>
                <c:pt idx="109">
                  <c:v>31.612818223475795</c:v>
                </c:pt>
                <c:pt idx="110">
                  <c:v>32.014577376895915</c:v>
                </c:pt>
                <c:pt idx="111">
                  <c:v>32.418123960648828</c:v>
                </c:pt>
                <c:pt idx="112">
                  <c:v>32.823449860878611</c:v>
                </c:pt>
                <c:pt idx="113">
                  <c:v>33.230546949239191</c:v>
                </c:pt>
                <c:pt idx="114">
                  <c:v>33.639407083337545</c:v>
                </c:pt>
                <c:pt idx="115">
                  <c:v>34.050022107174087</c:v>
                </c:pt>
                <c:pt idx="116">
                  <c:v>34.462383851580142</c:v>
                </c:pt>
                <c:pt idx="117">
                  <c:v>34.876484134652571</c:v>
                </c:pt>
                <c:pt idx="118">
                  <c:v>35.29231476218547</c:v>
                </c:pt>
                <c:pt idx="119">
                  <c:v>35.709867528098982</c:v>
                </c:pt>
                <c:pt idx="120">
                  <c:v>36.129134214865175</c:v>
                </c:pt>
                <c:pt idx="121">
                  <c:v>36.550106593930991</c:v>
                </c:pt>
                <c:pt idx="122">
                  <c:v>36.972776426138246</c:v>
                </c:pt>
                <c:pt idx="123">
                  <c:v>37.397135462140696</c:v>
                </c:pt>
                <c:pt idx="124">
                  <c:v>37.823175442818091</c:v>
                </c:pt>
                <c:pt idx="125">
                  <c:v>38.250888099687288</c:v>
                </c:pt>
                <c:pt idx="126">
                  <c:v>38.680265155310352</c:v>
                </c:pt>
                <c:pt idx="127">
                  <c:v>39.111298323699671</c:v>
                </c:pt>
                <c:pt idx="128">
                  <c:v>39.543979310720047</c:v>
                </c:pt>
                <c:pt idx="129">
                  <c:v>39.978299814487748</c:v>
                </c:pt>
                <c:pt idx="130">
                  <c:v>40.414251525766566</c:v>
                </c:pt>
                <c:pt idx="131">
                  <c:v>40.851826128360806</c:v>
                </c:pt>
                <c:pt idx="132">
                  <c:v>41.291015299505219</c:v>
                </c:pt>
                <c:pt idx="133">
                  <c:v>41.731810710251885</c:v>
                </c:pt>
                <c:pt idx="134">
                  <c:v>42.17420402585401</c:v>
                </c:pt>
                <c:pt idx="135">
                  <c:v>42.618186906146654</c:v>
                </c:pt>
                <c:pt idx="136">
                  <c:v>43.063751005924381</c:v>
                </c:pt>
                <c:pt idx="137">
                  <c:v>43.510887975315768</c:v>
                </c:pt>
                <c:pt idx="138">
                  <c:v>43.959589460154866</c:v>
                </c:pt>
                <c:pt idx="139">
                  <c:v>44.409847102349502</c:v>
                </c:pt>
                <c:pt idx="140">
                  <c:v>44.861652540246482</c:v>
                </c:pt>
                <c:pt idx="141">
                  <c:v>45.314997408993676</c:v>
                </c:pt>
                <c:pt idx="142">
                  <c:v>45.769873340898947</c:v>
                </c:pt>
                <c:pt idx="143">
                  <c:v>46.226271965785948</c:v>
                </c:pt>
                <c:pt idx="144">
                  <c:v>46.68418491134679</c:v>
                </c:pt>
                <c:pt idx="145">
                  <c:v>47.14360380349153</c:v>
                </c:pt>
                <c:pt idx="146">
                  <c:v>47.604520266694529</c:v>
                </c:pt>
                <c:pt idx="147">
                  <c:v>48.066925924337632</c:v>
                </c:pt>
                <c:pt idx="148">
                  <c:v>48.530812399050191</c:v>
                </c:pt>
                <c:pt idx="149">
                  <c:v>48.996171313045927</c:v>
                </c:pt>
                <c:pt idx="150">
                  <c:v>49.462994288456606</c:v>
                </c:pt>
                <c:pt idx="151">
                  <c:v>49.93127306867855</c:v>
                </c:pt>
                <c:pt idx="152">
                  <c:v>50.400999639694113</c:v>
                </c:pt>
                <c:pt idx="153">
                  <c:v>50.872166109089392</c:v>
                </c:pt>
                <c:pt idx="154">
                  <c:v>51.344764585081215</c:v>
                </c:pt>
                <c:pt idx="155">
                  <c:v>51.818787176816194</c:v>
                </c:pt>
                <c:pt idx="156">
                  <c:v>52.294225994666931</c:v>
                </c:pt>
                <c:pt idx="157">
                  <c:v>52.771073150525311</c:v>
                </c:pt>
                <c:pt idx="158">
                  <c:v>53.249320758092928</c:v>
                </c:pt>
                <c:pt idx="159">
                  <c:v>53.728960933168594</c:v>
                </c:pt>
                <c:pt idx="160">
                  <c:v>54.209985793933001</c:v>
                </c:pt>
                <c:pt idx="161">
                  <c:v>54.692387461230474</c:v>
                </c:pt>
                <c:pt idx="162">
                  <c:v>55.176158058847832</c:v>
                </c:pt>
                <c:pt idx="163">
                  <c:v>55.661289713790374</c:v>
                </c:pt>
                <c:pt idx="164">
                  <c:v>56.147774556554978</c:v>
                </c:pt>
                <c:pt idx="165">
                  <c:v>56.635604721400306</c:v>
                </c:pt>
                <c:pt idx="166">
                  <c:v>57.124772346614144</c:v>
                </c:pt>
                <c:pt idx="167">
                  <c:v>57.615269574777827</c:v>
                </c:pt>
                <c:pt idx="168">
                  <c:v>58.107088553027822</c:v>
                </c:pt>
                <c:pt idx="169">
                  <c:v>58.60022143331441</c:v>
                </c:pt>
                <c:pt idx="170">
                  <c:v>59.094660372657486</c:v>
                </c:pt>
                <c:pt idx="171">
                  <c:v>59.590397533399532</c:v>
                </c:pt>
                <c:pt idx="172">
                  <c:v>60.087425083455656</c:v>
                </c:pt>
                <c:pt idx="173">
                  <c:v>60.585735196560812</c:v>
                </c:pt>
                <c:pt idx="174">
                  <c:v>61.085320052514142</c:v>
                </c:pt>
                <c:pt idx="175">
                  <c:v>61.58617183742048</c:v>
                </c:pt>
                <c:pt idx="176">
                  <c:v>62.088282743928971</c:v>
                </c:pt>
                <c:pt idx="177">
                  <c:v>62.591644971468867</c:v>
                </c:pt>
                <c:pt idx="178">
                  <c:v>63.096250726482474</c:v>
                </c:pt>
                <c:pt idx="179">
                  <c:v>63.602092222655259</c:v>
                </c:pt>
                <c:pt idx="180">
                  <c:v>64.109161681143135</c:v>
                </c:pt>
                <c:pt idx="181">
                  <c:v>64.617451330796925</c:v>
                </c:pt>
                <c:pt idx="182">
                  <c:v>65.126953408383955</c:v>
                </c:pt>
                <c:pt idx="183">
                  <c:v>65.637660158806938</c:v>
                </c:pt>
                <c:pt idx="184">
                  <c:v>66.149563835319938</c:v>
                </c:pt>
                <c:pt idx="185">
                  <c:v>66.662656699741632</c:v>
                </c:pt>
                <c:pt idx="186">
                  <c:v>67.176931022665698</c:v>
                </c:pt>
                <c:pt idx="187">
                  <c:v>67.692379083668499</c:v>
                </c:pt>
                <c:pt idx="188">
                  <c:v>68.208993171513939</c:v>
                </c:pt>
                <c:pt idx="189">
                  <c:v>68.726765584355562</c:v>
                </c:pt>
                <c:pt idx="190">
                  <c:v>69.245688629935927</c:v>
                </c:pt>
                <c:pt idx="191">
                  <c:v>69.76575462578316</c:v>
                </c:pt>
                <c:pt idx="192">
                  <c:v>70.286955899404859</c:v>
                </c:pt>
                <c:pt idx="193">
                  <c:v>70.809284788479204</c:v>
                </c:pt>
                <c:pt idx="194">
                  <c:v>71.332733641043347</c:v>
                </c:pt>
                <c:pt idx="195">
                  <c:v>71.857294815679126</c:v>
                </c:pt>
                <c:pt idx="196">
                  <c:v>72.382960681696062</c:v>
                </c:pt>
                <c:pt idx="197">
                  <c:v>72.909723619311634</c:v>
                </c:pt>
                <c:pt idx="198">
                  <c:v>73.437576019828938</c:v>
                </c:pt>
                <c:pt idx="199">
                  <c:v>73.966510285811594</c:v>
                </c:pt>
                <c:pt idx="200">
                  <c:v>74.496518831256083</c:v>
                </c:pt>
                <c:pt idx="201">
                  <c:v>75.02759408176135</c:v>
                </c:pt>
                <c:pt idx="202">
                  <c:v>75.559728474695845</c:v>
                </c:pt>
                <c:pt idx="203">
                  <c:v>76.092914459361893</c:v>
                </c:pt>
                <c:pt idx="204">
                  <c:v>76.62714449715746</c:v>
                </c:pt>
                <c:pt idx="205">
                  <c:v>77.162411061735298</c:v>
                </c:pt>
                <c:pt idx="206">
                  <c:v>77.698706639159568</c:v>
                </c:pt>
                <c:pt idx="207">
                  <c:v>78.23602372805982</c:v>
                </c:pt>
                <c:pt idx="208">
                  <c:v>78.774354839782418</c:v>
                </c:pt>
                <c:pt idx="209">
                  <c:v>79.313692498539453</c:v>
                </c:pt>
                <c:pt idx="210">
                  <c:v>79.854029241555054</c:v>
                </c:pt>
                <c:pt idx="211">
                  <c:v>80.395357619209236</c:v>
                </c:pt>
                <c:pt idx="212">
                  <c:v>80.937670195179209</c:v>
                </c:pt>
                <c:pt idx="213">
                  <c:v>81.480959546578177</c:v>
                </c:pt>
                <c:pt idx="214">
                  <c:v>82.025218264091663</c:v>
                </c:pt>
                <c:pt idx="215">
                  <c:v>82.570438952111374</c:v>
                </c:pt>
                <c:pt idx="216">
                  <c:v>83.116614228866595</c:v>
                </c:pt>
                <c:pt idx="217">
                  <c:v>83.663736726553097</c:v>
                </c:pt>
                <c:pt idx="218">
                  <c:v>84.211799091459739</c:v>
                </c:pt>
                <c:pt idx="219">
                  <c:v>84.760793984092501</c:v>
                </c:pt>
                <c:pt idx="220">
                  <c:v>85.310714079296247</c:v>
                </c:pt>
                <c:pt idx="221">
                  <c:v>85.861552066373989</c:v>
                </c:pt>
                <c:pt idx="222">
                  <c:v>86.41330064920389</c:v>
                </c:pt>
                <c:pt idx="223">
                  <c:v>86.965952546353819</c:v>
                </c:pt>
                <c:pt idx="224">
                  <c:v>87.519500491193611</c:v>
                </c:pt>
                <c:pt idx="225">
                  <c:v>88.073937232004994</c:v>
                </c:pt>
                <c:pt idx="226">
                  <c:v>88.629255532089218</c:v>
                </c:pt>
                <c:pt idx="227">
                  <c:v>89.185448169872316</c:v>
                </c:pt>
                <c:pt idx="228">
                  <c:v>89.74250793900822</c:v>
                </c:pt>
                <c:pt idx="229">
                  <c:v>90.300427648479456</c:v>
                </c:pt>
                <c:pt idx="230">
                  <c:v>90.859200122695711</c:v>
                </c:pt>
                <c:pt idx="231">
                  <c:v>91.418818201590099</c:v>
                </c:pt>
                <c:pt idx="232">
                  <c:v>91.979274740713237</c:v>
                </c:pt>
                <c:pt idx="233">
                  <c:v>92.540562611325129</c:v>
                </c:pt>
                <c:pt idx="234">
                  <c:v>93.102674700484798</c:v>
                </c:pt>
                <c:pt idx="235">
                  <c:v>93.66560391113785</c:v>
                </c:pt>
                <c:pt idx="236">
                  <c:v>94.229343162201786</c:v>
                </c:pt>
                <c:pt idx="237">
                  <c:v>94.793885388649258</c:v>
                </c:pt>
                <c:pt idx="238">
                  <c:v>95.359223541589131</c:v>
                </c:pt>
                <c:pt idx="239">
                  <c:v>95.925350588345495</c:v>
                </c:pt>
                <c:pt idx="240">
                  <c:v>96.492259512534545</c:v>
                </c:pt>
                <c:pt idx="241">
                  <c:v>97.059943314139431</c:v>
                </c:pt>
                <c:pt idx="242">
                  <c:v>97.628395009583031</c:v>
                </c:pt>
                <c:pt idx="243">
                  <c:v>98.197607631798647</c:v>
                </c:pt>
                <c:pt idx="244">
                  <c:v>98.767574230298763</c:v>
                </c:pt>
                <c:pt idx="245">
                  <c:v>99.33828787124169</c:v>
                </c:pt>
                <c:pt idx="246">
                  <c:v>99.909741637496339</c:v>
                </c:pt>
                <c:pt idx="247">
                  <c:v>100.48192862870492</c:v>
                </c:pt>
                <c:pt idx="248">
                  <c:v>101.05484196134373</c:v>
                </c:pt>
                <c:pt idx="249">
                  <c:v>101.62847476878197</c:v>
                </c:pt>
                <c:pt idx="250">
                  <c:v>102.20282020133872</c:v>
                </c:pt>
                <c:pt idx="251">
                  <c:v>102.77787087524932</c:v>
                </c:pt>
                <c:pt idx="252">
                  <c:v>103.35361832254701</c:v>
                </c:pt>
                <c:pt idx="253">
                  <c:v>103.93005354495645</c:v>
                </c:pt>
                <c:pt idx="254">
                  <c:v>104.50716756688264</c:v>
                </c:pt>
                <c:pt idx="255">
                  <c:v>105.0849514354868</c:v>
                </c:pt>
                <c:pt idx="256">
                  <c:v>105.66339622075913</c:v>
                </c:pt>
                <c:pt idx="257">
                  <c:v>106.24249301558872</c:v>
                </c:pt>
                <c:pt idx="258">
                  <c:v>106.8222329358305</c:v>
                </c:pt>
                <c:pt idx="259">
                  <c:v>107.40260712036921</c:v>
                </c:pt>
                <c:pt idx="260">
                  <c:v>107.98360673118054</c:v>
                </c:pt>
                <c:pt idx="261">
                  <c:v>108.56522295338941</c:v>
                </c:pt>
                <c:pt idx="262">
                  <c:v>109.14744699532541</c:v>
                </c:pt>
                <c:pt idx="263">
                  <c:v>109.73027008857542</c:v>
                </c:pt>
                <c:pt idx="264">
                  <c:v>110.31368348803355</c:v>
                </c:pt>
                <c:pt idx="265">
                  <c:v>110.89767847194815</c:v>
                </c:pt>
                <c:pt idx="266">
                  <c:v>111.48224634196639</c:v>
                </c:pt>
                <c:pt idx="267">
                  <c:v>112.06737842317584</c:v>
                </c:pt>
                <c:pt idx="268">
                  <c:v>112.65306606414362</c:v>
                </c:pt>
                <c:pt idx="269">
                  <c:v>113.23930063695283</c:v>
                </c:pt>
                <c:pt idx="270">
                  <c:v>113.82607353723641</c:v>
                </c:pt>
                <c:pt idx="271">
                  <c:v>114.41337618420836</c:v>
                </c:pt>
                <c:pt idx="272">
                  <c:v>115.00120002069251</c:v>
                </c:pt>
                <c:pt idx="273">
                  <c:v>115.58953651314872</c:v>
                </c:pt>
                <c:pt idx="274">
                  <c:v>116.17837715169658</c:v>
                </c:pt>
                <c:pt idx="275">
                  <c:v>116.76771345013671</c:v>
                </c:pt>
                <c:pt idx="276">
                  <c:v>117.35753694596956</c:v>
                </c:pt>
                <c:pt idx="277">
                  <c:v>117.94783920041182</c:v>
                </c:pt>
                <c:pt idx="278">
                  <c:v>118.5386117984105</c:v>
                </c:pt>
                <c:pt idx="279">
                  <c:v>119.12984634865461</c:v>
                </c:pt>
                <c:pt idx="280">
                  <c:v>119.72153448358452</c:v>
                </c:pt>
                <c:pt idx="281">
                  <c:v>120.31366785939908</c:v>
                </c:pt>
                <c:pt idx="282">
                  <c:v>120.90623815606037</c:v>
                </c:pt>
                <c:pt idx="283">
                  <c:v>121.49923707729636</c:v>
                </c:pt>
                <c:pt idx="284">
                  <c:v>122.09265635060119</c:v>
                </c:pt>
                <c:pt idx="285">
                  <c:v>122.6864877272334</c:v>
                </c:pt>
                <c:pt idx="286">
                  <c:v>123.28072298221193</c:v>
                </c:pt>
                <c:pt idx="287">
                  <c:v>123.87535391430998</c:v>
                </c:pt>
                <c:pt idx="288">
                  <c:v>124.47037234604686</c:v>
                </c:pt>
                <c:pt idx="289">
                  <c:v>125.06577012367762</c:v>
                </c:pt>
                <c:pt idx="290">
                  <c:v>125.66153911718078</c:v>
                </c:pt>
                <c:pt idx="291">
                  <c:v>126.25767122024385</c:v>
                </c:pt>
                <c:pt idx="292">
                  <c:v>126.85415835024708</c:v>
                </c:pt>
                <c:pt idx="293">
                  <c:v>127.45099244824502</c:v>
                </c:pt>
                <c:pt idx="294">
                  <c:v>128.04816547894629</c:v>
                </c:pt>
                <c:pt idx="295">
                  <c:v>128.64566943069133</c:v>
                </c:pt>
                <c:pt idx="296">
                  <c:v>129.24349631542833</c:v>
                </c:pt>
                <c:pt idx="297">
                  <c:v>129.84163816868721</c:v>
                </c:pt>
                <c:pt idx="298">
                  <c:v>130.44008086371898</c:v>
                </c:pt>
                <c:pt idx="299">
                  <c:v>131.03879793933558</c:v>
                </c:pt>
                <c:pt idx="300">
                  <c:v>131.63775682226373</c:v>
                </c:pt>
                <c:pt idx="301">
                  <c:v>132.2369250360303</c:v>
                </c:pt>
                <c:pt idx="302">
                  <c:v>132.83627020138366</c:v>
                </c:pt>
                <c:pt idx="303">
                  <c:v>133.43576003668338</c:v>
                </c:pt>
                <c:pt idx="304">
                  <c:v>134.03536235825871</c:v>
                </c:pt>
                <c:pt idx="305">
                  <c:v>134.63504508073632</c:v>
                </c:pt>
                <c:pt idx="306">
                  <c:v>135.23477621733744</c:v>
                </c:pt>
                <c:pt idx="307">
                  <c:v>135.8345238801451</c:v>
                </c:pt>
                <c:pt idx="308">
                  <c:v>136.43425628034151</c:v>
                </c:pt>
                <c:pt idx="309">
                  <c:v>137.03394172841629</c:v>
                </c:pt>
                <c:pt idx="310">
                  <c:v>137.63354863434563</c:v>
                </c:pt>
                <c:pt idx="311">
                  <c:v>138.23304550774296</c:v>
                </c:pt>
                <c:pt idx="312">
                  <c:v>138.83240095798158</c:v>
                </c:pt>
                <c:pt idx="313">
                  <c:v>139.43158369428932</c:v>
                </c:pt>
                <c:pt idx="314">
                  <c:v>140.03056252581587</c:v>
                </c:pt>
                <c:pt idx="315">
                  <c:v>140.62930636167317</c:v>
                </c:pt>
                <c:pt idx="316">
                  <c:v>141.22778421094912</c:v>
                </c:pt>
                <c:pt idx="317">
                  <c:v>141.82596518269497</c:v>
                </c:pt>
                <c:pt idx="318">
                  <c:v>142.42381848588687</c:v>
                </c:pt>
                <c:pt idx="319">
                  <c:v>143.02131342936195</c:v>
                </c:pt>
                <c:pt idx="320">
                  <c:v>143.61841942172927</c:v>
                </c:pt>
                <c:pt idx="321">
                  <c:v>144.21510845529045</c:v>
                </c:pt>
                <c:pt idx="322">
                  <c:v>144.81135758267556</c:v>
                </c:pt>
                <c:pt idx="323">
                  <c:v>145.40714641543087</c:v>
                </c:pt>
                <c:pt idx="324">
                  <c:v>146.00245462980794</c:v>
                </c:pt>
                <c:pt idx="325">
                  <c:v>146.59726196649038</c:v>
                </c:pt>
                <c:pt idx="326">
                  <c:v>147.19154823031158</c:v>
                </c:pt>
                <c:pt idx="327">
                  <c:v>147.78529328996345</c:v>
                </c:pt>
                <c:pt idx="328">
                  <c:v>148.3784770776962</c:v>
                </c:pt>
                <c:pt idx="329">
                  <c:v>148.97107958900966</c:v>
                </c:pt>
                <c:pt idx="330">
                  <c:v>149.56308088233581</c:v>
                </c:pt>
                <c:pt idx="331">
                  <c:v>150.15446107871313</c:v>
                </c:pt>
                <c:pt idx="332">
                  <c:v>150.74520036145253</c:v>
                </c:pt>
                <c:pt idx="333">
                  <c:v>151.33527897579535</c:v>
                </c:pt>
                <c:pt idx="334">
                  <c:v>151.92467722856327</c:v>
                </c:pt>
                <c:pt idx="335">
                  <c:v>152.51337548780054</c:v>
                </c:pt>
                <c:pt idx="336">
                  <c:v>153.10135418240833</c:v>
                </c:pt>
                <c:pt idx="337">
                  <c:v>153.68859380177176</c:v>
                </c:pt>
                <c:pt idx="338">
                  <c:v>154.27507489537939</c:v>
                </c:pt>
                <c:pt idx="339">
                  <c:v>154.86077807243544</c:v>
                </c:pt>
                <c:pt idx="340">
                  <c:v>155.44568400146488</c:v>
                </c:pt>
                <c:pt idx="341">
                  <c:v>156.0297734099116</c:v>
                </c:pt>
                <c:pt idx="342">
                  <c:v>156.61302708372946</c:v>
                </c:pt>
                <c:pt idx="343">
                  <c:v>157.19542586696684</c:v>
                </c:pt>
                <c:pt idx="344">
                  <c:v>157.7769506613443</c:v>
                </c:pt>
                <c:pt idx="345">
                  <c:v>158.35758242582591</c:v>
                </c:pt>
                <c:pt idx="346">
                  <c:v>158.93730217618403</c:v>
                </c:pt>
                <c:pt idx="347">
                  <c:v>159.51609098455785</c:v>
                </c:pt>
                <c:pt idx="348">
                  <c:v>160.09393024960306</c:v>
                </c:pt>
                <c:pt idx="349">
                  <c:v>160.67080196574881</c:v>
                </c:pt>
                <c:pt idx="350">
                  <c:v>161.24668845015864</c:v>
                </c:pt>
                <c:pt idx="351">
                  <c:v>161.82157207058117</c:v>
                </c:pt>
                <c:pt idx="352">
                  <c:v>162.39543524489628</c:v>
                </c:pt>
                <c:pt idx="353">
                  <c:v>162.96826044065688</c:v>
                </c:pt>
                <c:pt idx="354">
                  <c:v>163.54003017462577</c:v>
                </c:pt>
                <c:pt idx="355">
                  <c:v>164.11072701230799</c:v>
                </c:pt>
                <c:pt idx="356">
                  <c:v>164.68033356747861</c:v>
                </c:pt>
                <c:pt idx="357">
                  <c:v>165.24883250170618</c:v>
                </c:pt>
                <c:pt idx="358">
                  <c:v>165.81620652387161</c:v>
                </c:pt>
                <c:pt idx="359">
                  <c:v>166.38243838968299</c:v>
                </c:pt>
                <c:pt idx="360">
                  <c:v>166.9475165523227</c:v>
                </c:pt>
                <c:pt idx="361">
                  <c:v>167.5114407941424</c:v>
                </c:pt>
                <c:pt idx="362">
                  <c:v>168.07421653354444</c:v>
                </c:pt>
                <c:pt idx="363">
                  <c:v>168.63584915123621</c:v>
                </c:pt>
                <c:pt idx="364">
                  <c:v>169.19634399058282</c:v>
                </c:pt>
                <c:pt idx="365">
                  <c:v>169.75570635795563</c:v>
                </c:pt>
                <c:pt idx="366">
                  <c:v>170.31394152307675</c:v>
                </c:pt>
                <c:pt idx="367">
                  <c:v>170.87105471935945</c:v>
                </c:pt>
                <c:pt idx="368">
                  <c:v>171.42705114424461</c:v>
                </c:pt>
                <c:pt idx="369">
                  <c:v>171.98193595953339</c:v>
                </c:pt>
                <c:pt idx="370">
                  <c:v>172.53571429171581</c:v>
                </c:pt>
                <c:pt idx="371">
                  <c:v>173.08839123229578</c:v>
                </c:pt>
                <c:pt idx="372">
                  <c:v>173.63997183811225</c:v>
                </c:pt>
                <c:pt idx="373">
                  <c:v>174.19046113165663</c:v>
                </c:pt>
                <c:pt idx="374">
                  <c:v>174.7398641013867</c:v>
                </c:pt>
                <c:pt idx="375">
                  <c:v>175.28818570203677</c:v>
                </c:pt>
                <c:pt idx="376">
                  <c:v>175.83543085492445</c:v>
                </c:pt>
                <c:pt idx="377">
                  <c:v>176.3816044482538</c:v>
                </c:pt>
                <c:pt idx="378">
                  <c:v>176.9267113374151</c:v>
                </c:pt>
                <c:pt idx="379">
                  <c:v>177.47075634528122</c:v>
                </c:pt>
                <c:pt idx="380">
                  <c:v>178.01374426250058</c:v>
                </c:pt>
                <c:pt idx="381">
                  <c:v>178.55567984778685</c:v>
                </c:pt>
                <c:pt idx="382">
                  <c:v>179.09656782820542</c:v>
                </c:pt>
                <c:pt idx="383">
                  <c:v>179.63641289945653</c:v>
                </c:pt>
                <c:pt idx="384">
                  <c:v>180.17521972615538</c:v>
                </c:pt>
                <c:pt idx="385">
                  <c:v>180.71299294210894</c:v>
                </c:pt>
                <c:pt idx="386">
                  <c:v>181.24973715058985</c:v>
                </c:pt>
                <c:pt idx="387">
                  <c:v>181.7854569246071</c:v>
                </c:pt>
                <c:pt idx="388">
                  <c:v>182.32015680717384</c:v>
                </c:pt>
                <c:pt idx="389">
                  <c:v>182.85384131157213</c:v>
                </c:pt>
                <c:pt idx="390">
                  <c:v>183.38651492161472</c:v>
                </c:pt>
                <c:pt idx="391">
                  <c:v>183.91818209190416</c:v>
                </c:pt>
                <c:pt idx="392">
                  <c:v>184.44884724808881</c:v>
                </c:pt>
                <c:pt idx="393">
                  <c:v>184.97851478711613</c:v>
                </c:pt>
                <c:pt idx="394">
                  <c:v>185.50718907748322</c:v>
                </c:pt>
                <c:pt idx="395">
                  <c:v>186.0348744594846</c:v>
                </c:pt>
                <c:pt idx="396">
                  <c:v>186.56157524545731</c:v>
                </c:pt>
                <c:pt idx="397">
                  <c:v>187.08729572002323</c:v>
                </c:pt>
                <c:pt idx="398">
                  <c:v>187.61204014032896</c:v>
                </c:pt>
                <c:pt idx="399">
                  <c:v>188.13581273628287</c:v>
                </c:pt>
                <c:pt idx="400">
                  <c:v>188.65861771078985</c:v>
                </c:pt>
                <c:pt idx="401">
                  <c:v>193.8337716267321</c:v>
                </c:pt>
                <c:pt idx="402">
                  <c:v>198.91483405966113</c:v>
                </c:pt>
                <c:pt idx="403">
                  <c:v>203.90576853679144</c:v>
                </c:pt>
                <c:pt idx="404">
                  <c:v>208.81029635279913</c:v>
                </c:pt>
                <c:pt idx="405">
                  <c:v>213.63191621488454</c:v>
                </c:pt>
                <c:pt idx="406">
                  <c:v>218.37392192157543</c:v>
                </c:pt>
                <c:pt idx="407">
                  <c:v>223.03941830813383</c:v>
                </c:pt>
                <c:pt idx="408">
                  <c:v>227.63133565974019</c:v>
                </c:pt>
                <c:pt idx="409">
                  <c:v>232.1524427667911</c:v>
                </c:pt>
                <c:pt idx="410">
                  <c:v>236.60535877383842</c:v>
                </c:pt>
                <c:pt idx="411">
                  <c:v>240.99256395424749</c:v>
                </c:pt>
                <c:pt idx="412">
                  <c:v>245.31640952601444</c:v>
                </c:pt>
                <c:pt idx="413">
                  <c:v>249.57912660990539</c:v>
                </c:pt>
                <c:pt idx="414">
                  <c:v>253.78283441879188</c:v>
                </c:pt>
                <c:pt idx="415">
                  <c:v>257.92954775645194</c:v>
                </c:pt>
                <c:pt idx="416">
                  <c:v>262.02118389492745</c:v>
                </c:pt>
                <c:pt idx="417">
                  <c:v>266.05956889156272</c:v>
                </c:pt>
                <c:pt idx="418">
                  <c:v>270.04644339992109</c:v>
                </c:pt>
                <c:pt idx="419">
                  <c:v>273.98346802273238</c:v>
                </c:pt>
                <c:pt idx="420">
                  <c:v>277.87222824974191</c:v>
                </c:pt>
                <c:pt idx="421">
                  <c:v>281.71423901870298</c:v>
                </c:pt>
                <c:pt idx="422">
                  <c:v>285.51094893369117</c:v>
                </c:pt>
                <c:pt idx="423">
                  <c:v>289.26374417134065</c:v>
                </c:pt>
                <c:pt idx="424">
                  <c:v>292.97395210245105</c:v>
                </c:pt>
                <c:pt idx="425">
                  <c:v>296.64284465362476</c:v>
                </c:pt>
                <c:pt idx="426">
                  <c:v>300.27164143112867</c:v>
                </c:pt>
                <c:pt idx="427">
                  <c:v>303.86151262698638</c:v>
                </c:pt>
                <c:pt idx="428">
                  <c:v>307.41358172536161</c:v>
                </c:pt>
                <c:pt idx="429">
                  <c:v>310.92892802556429</c:v>
                </c:pt>
                <c:pt idx="430">
                  <c:v>314.40858899646622</c:v>
                </c:pt>
                <c:pt idx="431">
                  <c:v>317.85356247573594</c:v>
                </c:pt>
                <c:pt idx="432">
                  <c:v>321.26480872606925</c:v>
                </c:pt>
                <c:pt idx="433">
                  <c:v>324.64325235948638</c:v>
                </c:pt>
                <c:pt idx="434">
                  <c:v>327.98978413977642</c:v>
                </c:pt>
                <c:pt idx="435">
                  <c:v>331.30526267227782</c:v>
                </c:pt>
                <c:pt idx="436">
                  <c:v>334.59051598938242</c:v>
                </c:pt>
                <c:pt idx="437">
                  <c:v>337.84634303942761</c:v>
                </c:pt>
                <c:pt idx="438">
                  <c:v>341.07351508598862</c:v>
                </c:pt>
                <c:pt idx="439">
                  <c:v>344.27277702399419</c:v>
                </c:pt>
                <c:pt idx="440">
                  <c:v>347.44484861855494</c:v>
                </c:pt>
                <c:pt idx="441">
                  <c:v>350.5904256719104</c:v>
                </c:pt>
                <c:pt idx="442">
                  <c:v>353.71018112346286</c:v>
                </c:pt>
                <c:pt idx="443">
                  <c:v>356.80476608746721</c:v>
                </c:pt>
                <c:pt idx="444">
                  <c:v>359.87481083258456</c:v>
                </c:pt>
                <c:pt idx="445">
                  <c:v>362.92092570717722</c:v>
                </c:pt>
                <c:pt idx="446">
                  <c:v>365.94370201392212</c:v>
                </c:pt>
                <c:pt idx="447">
                  <c:v>368.94371283704646</c:v>
                </c:pt>
                <c:pt idx="448">
                  <c:v>371.92151382523747</c:v>
                </c:pt>
                <c:pt idx="449">
                  <c:v>374.87764393305048</c:v>
                </c:pt>
                <c:pt idx="450">
                  <c:v>377.81262612342937</c:v>
                </c:pt>
                <c:pt idx="451">
                  <c:v>380.72696803376095</c:v>
                </c:pt>
                <c:pt idx="452">
                  <c:v>383.62116260770938</c:v>
                </c:pt>
                <c:pt idx="453">
                  <c:v>386.49568869491441</c:v>
                </c:pt>
                <c:pt idx="454">
                  <c:v>389.3510116204888</c:v>
                </c:pt>
                <c:pt idx="455">
                  <c:v>392.1875837261133</c:v>
                </c:pt>
                <c:pt idx="456">
                  <c:v>395.00584488440177</c:v>
                </c:pt>
                <c:pt idx="457">
                  <c:v>397.80622298809237</c:v>
                </c:pt>
                <c:pt idx="458">
                  <c:v>400.58913441551471</c:v>
                </c:pt>
                <c:pt idx="459">
                  <c:v>403.35498447368252</c:v>
                </c:pt>
                <c:pt idx="460">
                  <c:v>406.10416782027096</c:v>
                </c:pt>
                <c:pt idx="461">
                  <c:v>408.83706886565216</c:v>
                </c:pt>
                <c:pt idx="462">
                  <c:v>411.55406215608525</c:v>
                </c:pt>
                <c:pt idx="463">
                  <c:v>414.25551273908303</c:v>
                </c:pt>
                <c:pt idx="464">
                  <c:v>416.94177651191114</c:v>
                </c:pt>
                <c:pt idx="465">
                  <c:v>419.61320055411221</c:v>
                </c:pt>
                <c:pt idx="466">
                  <c:v>422.27012344488901</c:v>
                </c:pt>
                <c:pt idx="467">
                  <c:v>424.91287556612684</c:v>
                </c:pt>
                <c:pt idx="468">
                  <c:v>427.54177939178413</c:v>
                </c:pt>
                <c:pt idx="469">
                  <c:v>430.15714976433298</c:v>
                </c:pt>
                <c:pt idx="470">
                  <c:v>432.75929415888766</c:v>
                </c:pt>
                <c:pt idx="471">
                  <c:v>435.3485129356165</c:v>
                </c:pt>
                <c:pt idx="472">
                  <c:v>437.92509958099544</c:v>
                </c:pt>
                <c:pt idx="473">
                  <c:v>440.48934093842291</c:v>
                </c:pt>
                <c:pt idx="474">
                  <c:v>443.04151742868299</c:v>
                </c:pt>
                <c:pt idx="475">
                  <c:v>445.58190326071082</c:v>
                </c:pt>
                <c:pt idx="476">
                  <c:v>448.1107666330833</c:v>
                </c:pt>
                <c:pt idx="477">
                  <c:v>450.62836992662949</c:v>
                </c:pt>
                <c:pt idx="478">
                  <c:v>453.13496988852711</c:v>
                </c:pt>
                <c:pt idx="479">
                  <c:v>455.63081780822574</c:v>
                </c:pt>
                <c:pt idx="480">
                  <c:v>458.116159685512</c:v>
                </c:pt>
                <c:pt idx="481">
                  <c:v>460.59123639100744</c:v>
                </c:pt>
                <c:pt idx="482">
                  <c:v>463.05628381936731</c:v>
                </c:pt>
                <c:pt idx="483">
                  <c:v>465.51153303542571</c:v>
                </c:pt>
                <c:pt idx="484">
                  <c:v>467.95721041351044</c:v>
                </c:pt>
                <c:pt idx="485">
                  <c:v>470.39353777013048</c:v>
                </c:pt>
                <c:pt idx="486">
                  <c:v>472.82073249021715</c:v>
                </c:pt>
                <c:pt idx="487">
                  <c:v>475.23900764708031</c:v>
                </c:pt>
                <c:pt idx="488">
                  <c:v>477.64857211622046</c:v>
                </c:pt>
                <c:pt idx="489">
                  <c:v>480.04963068311662</c:v>
                </c:pt>
                <c:pt idx="490">
                  <c:v>482.44238414509107</c:v>
                </c:pt>
                <c:pt idx="491">
                  <c:v>484.82702940732992</c:v>
                </c:pt>
                <c:pt idx="492">
                  <c:v>487.20375957311938</c:v>
                </c:pt>
                <c:pt idx="493">
                  <c:v>489.57276402833526</c:v>
                </c:pt>
                <c:pt idx="494">
                  <c:v>491.93422852020302</c:v>
                </c:pt>
                <c:pt idx="495">
                  <c:v>494.28833523032262</c:v>
                </c:pt>
                <c:pt idx="496">
                  <c:v>496.63526284193057</c:v>
                </c:pt>
                <c:pt idx="497">
                  <c:v>498.97518660134756</c:v>
                </c:pt>
                <c:pt idx="498">
                  <c:v>501.30827837353661</c:v>
                </c:pt>
                <c:pt idx="499">
                  <c:v>503.63470669167049</c:v>
                </c:pt>
                <c:pt idx="500">
                  <c:v>505.95463680058253</c:v>
                </c:pt>
                <c:pt idx="501">
                  <c:v>508.26823069394743</c:v>
                </c:pt>
                <c:pt idx="502">
                  <c:v>510.57564714501058</c:v>
                </c:pt>
                <c:pt idx="503">
                  <c:v>512.87704173065731</c:v>
                </c:pt>
                <c:pt idx="504">
                  <c:v>515.17256684858319</c:v>
                </c:pt>
                <c:pt idx="505">
                  <c:v>517.46237172729877</c:v>
                </c:pt>
                <c:pt idx="506">
                  <c:v>519.74660242867162</c:v>
                </c:pt>
                <c:pt idx="507">
                  <c:v>522.02540184268253</c:v>
                </c:pt>
                <c:pt idx="508">
                  <c:v>524.29890967404435</c:v>
                </c:pt>
                <c:pt idx="509">
                  <c:v>526.56726242030879</c:v>
                </c:pt>
                <c:pt idx="510">
                  <c:v>528.83059334106736</c:v>
                </c:pt>
                <c:pt idx="511">
                  <c:v>531.0890324178373</c:v>
                </c:pt>
                <c:pt idx="512">
                  <c:v>533.34270630421827</c:v>
                </c:pt>
                <c:pt idx="513">
                  <c:v>535.59173826590904</c:v>
                </c:pt>
                <c:pt idx="514">
                  <c:v>537.8362481101924</c:v>
                </c:pt>
                <c:pt idx="515">
                  <c:v>540.07635210453145</c:v>
                </c:pt>
                <c:pt idx="516">
                  <c:v>542.31216288397877</c:v>
                </c:pt>
                <c:pt idx="517">
                  <c:v>544.5437893471842</c:v>
                </c:pt>
                <c:pt idx="518">
                  <c:v>546.77133654090494</c:v>
                </c:pt>
                <c:pt idx="519">
                  <c:v>548.99490553307578</c:v>
                </c:pt>
                <c:pt idx="520">
                  <c:v>551.21459327469768</c:v>
                </c:pt>
                <c:pt idx="521">
                  <c:v>553.43049245105067</c:v>
                </c:pt>
                <c:pt idx="522">
                  <c:v>555.6426913230365</c:v>
                </c:pt>
                <c:pt idx="523">
                  <c:v>557.85127355981263</c:v>
                </c:pt>
                <c:pt idx="524">
                  <c:v>560.05631806428255</c:v>
                </c:pt>
                <c:pt idx="525">
                  <c:v>562.25789879346155</c:v>
                </c:pt>
                <c:pt idx="526">
                  <c:v>564.45608457621586</c:v>
                </c:pt>
                <c:pt idx="527">
                  <c:v>566.65093893137293</c:v>
                </c:pt>
                <c:pt idx="528">
                  <c:v>568.84251988967662</c:v>
                </c:pt>
                <c:pt idx="529">
                  <c:v>571.0308798234945</c:v>
                </c:pt>
                <c:pt idx="530">
                  <c:v>573.21606528852476</c:v>
                </c:pt>
                <c:pt idx="531">
                  <c:v>575.39811688195857</c:v>
                </c:pt>
                <c:pt idx="532">
                  <c:v>577.57706912159017</c:v>
                </c:pt>
                <c:pt idx="533">
                  <c:v>579.75295035019542</c:v>
                </c:pt>
                <c:pt idx="534">
                  <c:v>581.92578266910311</c:v>
                </c:pt>
                <c:pt idx="535">
                  <c:v>584.09558190425594</c:v>
                </c:pt>
                <c:pt idx="536">
                  <c:v>586.2623576072275</c:v>
                </c:pt>
                <c:pt idx="537">
                  <c:v>588.42611309266033</c:v>
                </c:pt>
                <c:pt idx="538">
                  <c:v>590.58684551249155</c:v>
                </c:pt>
                <c:pt idx="539">
                  <c:v>592.74454596620171</c:v>
                </c:pt>
                <c:pt idx="540">
                  <c:v>594.89919964524324</c:v>
                </c:pt>
                <c:pt idx="541">
                  <c:v>597.05078600884713</c:v>
                </c:pt>
                <c:pt idx="542">
                  <c:v>599.19927898762967</c:v>
                </c:pt>
                <c:pt idx="543">
                  <c:v>601.3446472108634</c:v>
                </c:pt>
                <c:pt idx="544">
                  <c:v>603.48685425294832</c:v>
                </c:pt>
                <c:pt idx="545">
                  <c:v>605.62585889452293</c:v>
                </c:pt>
                <c:pt idx="546">
                  <c:v>607.76161539375505</c:v>
                </c:pt>
                <c:pt idx="547">
                  <c:v>609.89407376362158</c:v>
                </c:pt>
                <c:pt idx="548">
                  <c:v>612.02318005137579</c:v>
                </c:pt>
                <c:pt idx="549">
                  <c:v>614.14887661686919</c:v>
                </c:pt>
                <c:pt idx="550">
                  <c:v>616.27110240690388</c:v>
                </c:pt>
                <c:pt idx="551">
                  <c:v>618.38979322330192</c:v>
                </c:pt>
                <c:pt idx="552">
                  <c:v>620.5048819828728</c:v>
                </c:pt>
                <c:pt idx="553">
                  <c:v>622.61629896791146</c:v>
                </c:pt>
                <c:pt idx="554">
                  <c:v>624.72397206626295</c:v>
                </c:pt>
                <c:pt idx="555">
                  <c:v>626.82782700033761</c:v>
                </c:pt>
                <c:pt idx="556">
                  <c:v>628.9277875447516</c:v>
                </c:pt>
                <c:pt idx="557">
                  <c:v>631.02377573250499</c:v>
                </c:pt>
                <c:pt idx="558">
                  <c:v>633.11571204979953</c:v>
                </c:pt>
                <c:pt idx="559">
                  <c:v>635.2035156197403</c:v>
                </c:pt>
                <c:pt idx="560">
                  <c:v>637.28710437527434</c:v>
                </c:pt>
                <c:pt idx="561">
                  <c:v>639.36639522179553</c:v>
                </c:pt>
                <c:pt idx="562">
                  <c:v>641.44130418989175</c:v>
                </c:pt>
                <c:pt idx="563">
                  <c:v>643.51174657874321</c:v>
                </c:pt>
                <c:pt idx="564">
                  <c:v>645.57763709069013</c:v>
                </c:pt>
                <c:pt idx="565">
                  <c:v>647.6388899574896</c:v>
                </c:pt>
                <c:pt idx="566">
                  <c:v>649.69541905877202</c:v>
                </c:pt>
                <c:pt idx="567">
                  <c:v>651.74713803319116</c:v>
                </c:pt>
                <c:pt idx="568">
                  <c:v>653.79396038274058</c:v>
                </c:pt>
                <c:pt idx="569">
                  <c:v>655.83579957068582</c:v>
                </c:pt>
                <c:pt idx="570">
                  <c:v>657.87256911353643</c:v>
                </c:pt>
                <c:pt idx="571">
                  <c:v>659.90418266745473</c:v>
                </c:pt>
                <c:pt idx="572">
                  <c:v>661.93055410947136</c:v>
                </c:pt>
                <c:pt idx="573">
                  <c:v>663.95159761385298</c:v>
                </c:pt>
                <c:pt idx="574">
                  <c:v>665.96722772394116</c:v>
                </c:pt>
                <c:pt idx="575">
                  <c:v>667.97735941975805</c:v>
                </c:pt>
                <c:pt idx="576">
                  <c:v>669.98190818165153</c:v>
                </c:pt>
                <c:pt idx="577">
                  <c:v>671.98079005023067</c:v>
                </c:pt>
                <c:pt idx="578">
                  <c:v>673.97392168282352</c:v>
                </c:pt>
                <c:pt idx="579">
                  <c:v>675.96122040667024</c:v>
                </c:pt>
                <c:pt idx="580">
                  <c:v>677.94260426904634</c:v>
                </c:pt>
                <c:pt idx="581">
                  <c:v>679.91799208449731</c:v>
                </c:pt>
                <c:pt idx="582">
                  <c:v>681.8873034793495</c:v>
                </c:pt>
                <c:pt idx="583">
                  <c:v>683.85045893364952</c:v>
                </c:pt>
                <c:pt idx="584">
                  <c:v>685.80737982067228</c:v>
                </c:pt>
                <c:pt idx="585">
                  <c:v>687.75798844412725</c:v>
                </c:pt>
                <c:pt idx="586">
                  <c:v>689.7022080731806</c:v>
                </c:pt>
                <c:pt idx="587">
                  <c:v>691.63996297540439</c:v>
                </c:pt>
                <c:pt idx="588">
                  <c:v>693.57117844775235</c:v>
                </c:pt>
                <c:pt idx="589">
                  <c:v>695.49578084565746</c:v>
                </c:pt>
                <c:pt idx="590">
                  <c:v>697.41369761033718</c:v>
                </c:pt>
                <c:pt idx="591">
                  <c:v>699.32485729438622</c:v>
                </c:pt>
                <c:pt idx="592">
                  <c:v>701.22918958573257</c:v>
                </c:pt>
                <c:pt idx="593">
                  <c:v>703.12662533002538</c:v>
                </c:pt>
                <c:pt idx="594">
                  <c:v>705.01709655151944</c:v>
                </c:pt>
                <c:pt idx="595">
                  <c:v>706.90053647251739</c:v>
                </c:pt>
                <c:pt idx="596">
                  <c:v>708.7768795314247</c:v>
                </c:pt>
                <c:pt idx="597">
                  <c:v>710.64606139947216</c:v>
                </c:pt>
                <c:pt idx="598">
                  <c:v>712.50801899615431</c:v>
                </c:pt>
                <c:pt idx="599">
                  <c:v>714.36269050343117</c:v>
                </c:pt>
                <c:pt idx="600">
                  <c:v>716.21001537873747</c:v>
                </c:pt>
                <c:pt idx="601">
                  <c:v>718.04993436684117</c:v>
                </c:pt>
                <c:pt idx="602">
                  <c:v>719.88238951059066</c:v>
                </c:pt>
                <c:pt idx="603">
                  <c:v>721.707324160589</c:v>
                </c:pt>
                <c:pt idx="604">
                  <c:v>723.52468298382985</c:v>
                </c:pt>
                <c:pt idx="605">
                  <c:v>725.33441197133061</c:v>
                </c:pt>
                <c:pt idx="606">
                  <c:v>727.13645844479447</c:v>
                </c:pt>
                <c:pt idx="607">
                  <c:v>728.93077106233329</c:v>
                </c:pt>
                <c:pt idx="608">
                  <c:v>730.71729982328088</c:v>
                </c:pt>
                <c:pt idx="609">
                  <c:v>732.49599607212622</c:v>
                </c:pt>
                <c:pt idx="610">
                  <c:v>734.26681250159436</c:v>
                </c:pt>
                <c:pt idx="611">
                  <c:v>736.02970315490165</c:v>
                </c:pt>
                <c:pt idx="612">
                  <c:v>737.78462342721139</c:v>
                </c:pt>
                <c:pt idx="613">
                  <c:v>739.53153006631601</c:v>
                </c:pt>
                <c:pt idx="614">
                  <c:v>741.27038117256916</c:v>
                </c:pt>
                <c:pt idx="615">
                  <c:v>743.00113619809235</c:v>
                </c:pt>
                <c:pt idx="616">
                  <c:v>744.72375594527898</c:v>
                </c:pt>
                <c:pt idx="617">
                  <c:v>746.43820256461868</c:v>
                </c:pt>
                <c:pt idx="618">
                  <c:v>748.14443955186368</c:v>
                </c:pt>
                <c:pt idx="619">
                  <c:v>749.84243174455935</c:v>
                </c:pt>
                <c:pt idx="620">
                  <c:v>751.53214531795902</c:v>
                </c:pt>
                <c:pt idx="621">
                  <c:v>753.21354778034515</c:v>
                </c:pt>
                <c:pt idx="622">
                  <c:v>754.88660796777515</c:v>
                </c:pt>
                <c:pt idx="623">
                  <c:v>756.55129603827379</c:v>
                </c:pt>
                <c:pt idx="624">
                  <c:v>758.20758346549007</c:v>
                </c:pt>
                <c:pt idx="625">
                  <c:v>759.85544303183781</c:v>
                </c:pt>
                <c:pt idx="626">
                  <c:v>761.4948488211395</c:v>
                </c:pt>
                <c:pt idx="627">
                  <c:v>763.12577621079106</c:v>
                </c:pt>
                <c:pt idx="628">
                  <c:v>764.74820186346528</c:v>
                </c:pt>
                <c:pt idx="629">
                  <c:v>766.36210371837262</c:v>
                </c:pt>
                <c:pt idx="630">
                  <c:v>767.96746098209599</c:v>
                </c:pt>
                <c:pt idx="631">
                  <c:v>769.5642541190166</c:v>
                </c:pt>
                <c:pt idx="632">
                  <c:v>771.15246484134855</c:v>
                </c:pt>
                <c:pt idx="633">
                  <c:v>772.73207609879739</c:v>
                </c:pt>
                <c:pt idx="634">
                  <c:v>774.30307206786017</c:v>
                </c:pt>
                <c:pt idx="635">
                  <c:v>775.86543814078186</c:v>
                </c:pt>
                <c:pt idx="636">
                  <c:v>777.41916091418477</c:v>
                </c:pt>
                <c:pt idx="637">
                  <c:v>778.96422817738517</c:v>
                </c:pt>
                <c:pt idx="638">
                  <c:v>780.50062890041409</c:v>
                </c:pt>
                <c:pt idx="639">
                  <c:v>782.02835322175497</c:v>
                </c:pt>
                <c:pt idx="640">
                  <c:v>783.54739243581423</c:v>
                </c:pt>
                <c:pt idx="641">
                  <c:v>785.05773898013911</c:v>
                </c:pt>
                <c:pt idx="642">
                  <c:v>786.55938642239551</c:v>
                </c:pt>
                <c:pt idx="643">
                  <c:v>788.05232944712111</c:v>
                </c:pt>
                <c:pt idx="644">
                  <c:v>789.5365638422669</c:v>
                </c:pt>
                <c:pt idx="645">
                  <c:v>791.01208648553916</c:v>
                </c:pt>
                <c:pt idx="646">
                  <c:v>792.47889533055695</c:v>
                </c:pt>
                <c:pt idx="647">
                  <c:v>793.93698939283615</c:v>
                </c:pt>
                <c:pt idx="648">
                  <c:v>795.38636873561313</c:v>
                </c:pt>
                <c:pt idx="649">
                  <c:v>796.82703445552022</c:v>
                </c:pt>
                <c:pt idx="650">
                  <c:v>798.25898866812508</c:v>
                </c:pt>
                <c:pt idx="651">
                  <c:v>799.68223449334494</c:v>
                </c:pt>
                <c:pt idx="652">
                  <c:v>801.09677604074818</c:v>
                </c:pt>
                <c:pt idx="653">
                  <c:v>802.50261839475309</c:v>
                </c:pt>
                <c:pt idx="654">
                  <c:v>803.89976759973592</c:v>
                </c:pt>
                <c:pt idx="655">
                  <c:v>805.28823064505787</c:v>
                </c:pt>
                <c:pt idx="656">
                  <c:v>806.6680154500217</c:v>
                </c:pt>
                <c:pt idx="657">
                  <c:v>808.0391308487682</c:v>
                </c:pt>
                <c:pt idx="658">
                  <c:v>809.401586575122</c:v>
                </c:pt>
                <c:pt idx="659">
                  <c:v>810.75539324739657</c:v>
                </c:pt>
                <c:pt idx="660">
                  <c:v>812.10056235316745</c:v>
                </c:pt>
                <c:pt idx="661">
                  <c:v>813.43710623402262</c:v>
                </c:pt>
                <c:pt idx="662">
                  <c:v>814.7650380702994</c:v>
                </c:pt>
                <c:pt idx="663">
                  <c:v>816.0843718658158</c:v>
                </c:pt>
                <c:pt idx="664">
                  <c:v>817.39512243260435</c:v>
                </c:pt>
                <c:pt idx="665">
                  <c:v>818.69730537565772</c:v>
                </c:pt>
                <c:pt idx="666">
                  <c:v>819.99093707769202</c:v>
                </c:pt>
                <c:pt idx="667">
                  <c:v>821.27603468393681</c:v>
                </c:pt>
                <c:pt idx="668">
                  <c:v>822.55261608695866</c:v>
                </c:pt>
                <c:pt idx="669">
                  <c:v>823.8206999115248</c:v>
                </c:pt>
                <c:pt idx="670">
                  <c:v>825.08030549951411</c:v>
                </c:pt>
                <c:pt idx="671">
                  <c:v>826.33145289488198</c:v>
                </c:pt>
                <c:pt idx="672">
                  <c:v>827.5741628286853</c:v>
                </c:pt>
                <c:pt idx="673">
                  <c:v>828.80845670417364</c:v>
                </c:pt>
                <c:pt idx="674">
                  <c:v>830.03435658195201</c:v>
                </c:pt>
                <c:pt idx="675">
                  <c:v>831.25188516522201</c:v>
                </c:pt>
                <c:pt idx="676">
                  <c:v>832.46106578510557</c:v>
                </c:pt>
                <c:pt idx="677">
                  <c:v>833.66192238605686</c:v>
                </c:pt>
                <c:pt idx="678">
                  <c:v>834.85447951136757</c:v>
                </c:pt>
                <c:pt idx="679">
                  <c:v>836.03876228877004</c:v>
                </c:pt>
                <c:pt idx="680">
                  <c:v>837.21479641614314</c:v>
                </c:pt>
                <c:pt idx="681">
                  <c:v>838.38260814732439</c:v>
                </c:pt>
                <c:pt idx="682">
                  <c:v>839.5422242780337</c:v>
                </c:pt>
                <c:pt idx="683">
                  <c:v>840.6936721319114</c:v>
                </c:pt>
                <c:pt idx="684">
                  <c:v>841.83697954667514</c:v>
                </c:pt>
                <c:pt idx="685">
                  <c:v>842.97217486039915</c:v>
                </c:pt>
                <c:pt idx="686">
                  <c:v>844.09928689791877</c:v>
                </c:pt>
                <c:pt idx="687">
                  <c:v>845.21834495736357</c:v>
                </c:pt>
                <c:pt idx="688">
                  <c:v>846.32937879682254</c:v>
                </c:pt>
                <c:pt idx="689">
                  <c:v>847.43241862114348</c:v>
                </c:pt>
                <c:pt idx="690">
                  <c:v>848.5274950688696</c:v>
                </c:pt>
                <c:pt idx="691">
                  <c:v>849.61463919931566</c:v>
                </c:pt>
                <c:pt idx="692">
                  <c:v>850.69388247978668</c:v>
                </c:pt>
                <c:pt idx="693">
                  <c:v>851.76525677293955</c:v>
                </c:pt>
                <c:pt idx="694">
                  <c:v>852.82879432429206</c:v>
                </c:pt>
                <c:pt idx="695">
                  <c:v>853.884527749879</c:v>
                </c:pt>
                <c:pt idx="696">
                  <c:v>854.9324900240581</c:v>
                </c:pt>
                <c:pt idx="697">
                  <c:v>855.9727144674672</c:v>
                </c:pt>
                <c:pt idx="698">
                  <c:v>857.0052347351342</c:v>
                </c:pt>
                <c:pt idx="699">
                  <c:v>858.03008480474057</c:v>
                </c:pt>
                <c:pt idx="700">
                  <c:v>859.04729896504011</c:v>
                </c:pt>
                <c:pt idx="701">
                  <c:v>860.05691180443353</c:v>
                </c:pt>
                <c:pt idx="702">
                  <c:v>861.05895819969999</c:v>
                </c:pt>
                <c:pt idx="703">
                  <c:v>862.05347330488644</c:v>
                </c:pt>
                <c:pt idx="704">
                  <c:v>863.04049254035522</c:v>
                </c:pt>
                <c:pt idx="705">
                  <c:v>864.02005158199051</c:v>
                </c:pt>
                <c:pt idx="706">
                  <c:v>864.99218635056377</c:v>
                </c:pt>
                <c:pt idx="707">
                  <c:v>865.95693300125924</c:v>
                </c:pt>
                <c:pt idx="708">
                  <c:v>866.91432791335899</c:v>
                </c:pt>
                <c:pt idx="709">
                  <c:v>867.86440768008777</c:v>
                </c:pt>
                <c:pt idx="710">
                  <c:v>868.80720909861793</c:v>
                </c:pt>
                <c:pt idx="711">
                  <c:v>869.74276916023405</c:v>
                </c:pt>
                <c:pt idx="712">
                  <c:v>870.67112504065756</c:v>
                </c:pt>
                <c:pt idx="713">
                  <c:v>871.59231409053029</c:v>
                </c:pt>
                <c:pt idx="714">
                  <c:v>872.5063738260576</c:v>
                </c:pt>
                <c:pt idx="715">
                  <c:v>873.41334191980968</c:v>
                </c:pt>
                <c:pt idx="716">
                  <c:v>874.31325619168138</c:v>
                </c:pt>
                <c:pt idx="717">
                  <c:v>875.20615460000965</c:v>
                </c:pt>
                <c:pt idx="718">
                  <c:v>876.09207523284783</c:v>
                </c:pt>
                <c:pt idx="719">
                  <c:v>876.97105629939585</c:v>
                </c:pt>
                <c:pt idx="720">
                  <c:v>877.84313612158689</c:v>
                </c:pt>
                <c:pt idx="721">
                  <c:v>878.70835312582756</c:v>
                </c:pt>
                <c:pt idx="722">
                  <c:v>879.5667458348928</c:v>
                </c:pt>
                <c:pt idx="723">
                  <c:v>880.41835285997308</c:v>
                </c:pt>
                <c:pt idx="724">
                  <c:v>881.26321289287353</c:v>
                </c:pt>
                <c:pt idx="725">
                  <c:v>882.10136469836414</c:v>
                </c:pt>
                <c:pt idx="726">
                  <c:v>882.93284710667922</c:v>
                </c:pt>
                <c:pt idx="727">
                  <c:v>883.75769900616569</c:v>
                </c:pt>
                <c:pt idx="728">
                  <c:v>884.57595933607888</c:v>
                </c:pt>
                <c:pt idx="729">
                  <c:v>885.38766707952414</c:v>
                </c:pt>
                <c:pt idx="730">
                  <c:v>886.19286125654344</c:v>
                </c:pt>
                <c:pt idx="731">
                  <c:v>886.99158091734569</c:v>
                </c:pt>
                <c:pt idx="732">
                  <c:v>887.78386513567932</c:v>
                </c:pt>
                <c:pt idx="733">
                  <c:v>888.56975300234558</c:v>
                </c:pt>
                <c:pt idx="734">
                  <c:v>889.34928361885136</c:v>
                </c:pt>
                <c:pt idx="735">
                  <c:v>890.12249609120022</c:v>
                </c:pt>
                <c:pt idx="736">
                  <c:v>890.88942952382013</c:v>
                </c:pt>
                <c:pt idx="737">
                  <c:v>891.65012301362606</c:v>
                </c:pt>
                <c:pt idx="738">
                  <c:v>892.40461564421628</c:v>
                </c:pt>
                <c:pt idx="739">
                  <c:v>893.15294648020119</c:v>
                </c:pt>
                <c:pt idx="740">
                  <c:v>893.89515456166237</c:v>
                </c:pt>
                <c:pt idx="741">
                  <c:v>894.63127889874102</c:v>
                </c:pt>
                <c:pt idx="742">
                  <c:v>895.36135846635341</c:v>
                </c:pt>
                <c:pt idx="743">
                  <c:v>896.08543219903299</c:v>
                </c:pt>
                <c:pt idx="744">
                  <c:v>896.80353898589624</c:v>
                </c:pt>
                <c:pt idx="745">
                  <c:v>897.51571766573159</c:v>
                </c:pt>
                <c:pt idx="746">
                  <c:v>898.22200702220937</c:v>
                </c:pt>
                <c:pt idx="747">
                  <c:v>898.92244577921133</c:v>
                </c:pt>
                <c:pt idx="748">
                  <c:v>899.61707259627804</c:v>
                </c:pt>
                <c:pt idx="749">
                  <c:v>900.30592606417258</c:v>
                </c:pt>
                <c:pt idx="750">
                  <c:v>900.98904470055891</c:v>
                </c:pt>
                <c:pt idx="751">
                  <c:v>901.66646694579345</c:v>
                </c:pt>
                <c:pt idx="752">
                  <c:v>902.33823115882751</c:v>
                </c:pt>
                <c:pt idx="753">
                  <c:v>903.00437561321996</c:v>
                </c:pt>
                <c:pt idx="754">
                  <c:v>903.66493849325809</c:v>
                </c:pt>
                <c:pt idx="755">
                  <c:v>904.31995789018436</c:v>
                </c:pt>
                <c:pt idx="756">
                  <c:v>904.9694717985285</c:v>
                </c:pt>
                <c:pt idx="757">
                  <c:v>905.61351811254303</c:v>
                </c:pt>
                <c:pt idx="758">
                  <c:v>906.25213462273962</c:v>
                </c:pt>
                <c:pt idx="759">
                  <c:v>906.88535901252624</c:v>
                </c:pt>
                <c:pt idx="760">
                  <c:v>907.51322885494233</c:v>
                </c:pt>
                <c:pt idx="761">
                  <c:v>908.13578160949044</c:v>
                </c:pt>
                <c:pt idx="762">
                  <c:v>908.75305461906385</c:v>
                </c:pt>
                <c:pt idx="763">
                  <c:v>909.36508510696706</c:v>
                </c:pt>
                <c:pt idx="764">
                  <c:v>909.97191017402838</c:v>
                </c:pt>
                <c:pt idx="765">
                  <c:v>910.57356679580346</c:v>
                </c:pt>
                <c:pt idx="766">
                  <c:v>911.17009181986703</c:v>
                </c:pt>
                <c:pt idx="767">
                  <c:v>911.76152196319265</c:v>
                </c:pt>
                <c:pt idx="768">
                  <c:v>912.34789380961752</c:v>
                </c:pt>
                <c:pt idx="769">
                  <c:v>912.92924380739214</c:v>
                </c:pt>
                <c:pt idx="770">
                  <c:v>913.50560826681226</c:v>
                </c:pt>
                <c:pt idx="771">
                  <c:v>914.07702335793272</c:v>
                </c:pt>
                <c:pt idx="772">
                  <c:v>914.64352510836022</c:v>
                </c:pt>
                <c:pt idx="773">
                  <c:v>915.20514940112491</c:v>
                </c:pt>
                <c:pt idx="774">
                  <c:v>915.76193197262853</c:v>
                </c:pt>
                <c:pt idx="775">
                  <c:v>916.3139084106682</c:v>
                </c:pt>
                <c:pt idx="776">
                  <c:v>916.8611141525339</c:v>
                </c:pt>
                <c:pt idx="777">
                  <c:v>917.40358448317841</c:v>
                </c:pt>
                <c:pt idx="778">
                  <c:v>917.94135453345837</c:v>
                </c:pt>
                <c:pt idx="779">
                  <c:v>918.47445927844547</c:v>
                </c:pt>
                <c:pt idx="780">
                  <c:v>919.00293353580514</c:v>
                </c:pt>
                <c:pt idx="781">
                  <c:v>919.52681196424294</c:v>
                </c:pt>
                <c:pt idx="782">
                  <c:v>920.04612906201623</c:v>
                </c:pt>
                <c:pt idx="783">
                  <c:v>920.56091916551031</c:v>
                </c:pt>
                <c:pt idx="784">
                  <c:v>921.0712164478773</c:v>
                </c:pt>
                <c:pt idx="785">
                  <c:v>921.57705491773697</c:v>
                </c:pt>
                <c:pt idx="786">
                  <c:v>922.07846841793764</c:v>
                </c:pt>
                <c:pt idx="787">
                  <c:v>922.57549062437647</c:v>
                </c:pt>
                <c:pt idx="788">
                  <c:v>923.06815504487781</c:v>
                </c:pt>
                <c:pt idx="789">
                  <c:v>923.55649501812775</c:v>
                </c:pt>
                <c:pt idx="790">
                  <c:v>924.04054371266432</c:v>
                </c:pt>
                <c:pt idx="791">
                  <c:v>924.52033412592209</c:v>
                </c:pt>
                <c:pt idx="792">
                  <c:v>924.99589908332962</c:v>
                </c:pt>
                <c:pt idx="793">
                  <c:v>925.4672712374587</c:v>
                </c:pt>
                <c:pt idx="794">
                  <c:v>925.93448306722496</c:v>
                </c:pt>
                <c:pt idx="795">
                  <c:v>926.39756687713714</c:v>
                </c:pt>
                <c:pt idx="796">
                  <c:v>926.85655479659556</c:v>
                </c:pt>
                <c:pt idx="797">
                  <c:v>927.31147877923775</c:v>
                </c:pt>
                <c:pt idx="798">
                  <c:v>927.76237060233063</c:v>
                </c:pt>
                <c:pt idx="799">
                  <c:v>928.20926186620727</c:v>
                </c:pt>
                <c:pt idx="800">
                  <c:v>928.20926186620727</c:v>
                </c:pt>
                <c:pt idx="801">
                  <c:v>928.20926186620727</c:v>
                </c:pt>
                <c:pt idx="802">
                  <c:v>928.20926186620727</c:v>
                </c:pt>
                <c:pt idx="803">
                  <c:v>928.20926186620727</c:v>
                </c:pt>
                <c:pt idx="804">
                  <c:v>928.20926186620727</c:v>
                </c:pt>
                <c:pt idx="805">
                  <c:v>928.20926186620727</c:v>
                </c:pt>
                <c:pt idx="806">
                  <c:v>928.20926186620727</c:v>
                </c:pt>
                <c:pt idx="807">
                  <c:v>928.20926186620727</c:v>
                </c:pt>
                <c:pt idx="808">
                  <c:v>928.20926186620727</c:v>
                </c:pt>
                <c:pt idx="809">
                  <c:v>928.20926186620727</c:v>
                </c:pt>
                <c:pt idx="810">
                  <c:v>928.20926186620727</c:v>
                </c:pt>
                <c:pt idx="811">
                  <c:v>928.20926186620727</c:v>
                </c:pt>
                <c:pt idx="812">
                  <c:v>928.20926186620727</c:v>
                </c:pt>
                <c:pt idx="813">
                  <c:v>928.20926186620727</c:v>
                </c:pt>
                <c:pt idx="814">
                  <c:v>928.20926186620727</c:v>
                </c:pt>
                <c:pt idx="815">
                  <c:v>928.20926186620727</c:v>
                </c:pt>
                <c:pt idx="816">
                  <c:v>928.20926186620727</c:v>
                </c:pt>
                <c:pt idx="817">
                  <c:v>928.20926186620727</c:v>
                </c:pt>
                <c:pt idx="818">
                  <c:v>928.20926186620727</c:v>
                </c:pt>
                <c:pt idx="819">
                  <c:v>928.20926186620727</c:v>
                </c:pt>
                <c:pt idx="820">
                  <c:v>928.20926186620727</c:v>
                </c:pt>
                <c:pt idx="821">
                  <c:v>928.20926186620727</c:v>
                </c:pt>
                <c:pt idx="822">
                  <c:v>928.20926186620727</c:v>
                </c:pt>
                <c:pt idx="823">
                  <c:v>928.20926186620727</c:v>
                </c:pt>
                <c:pt idx="824">
                  <c:v>928.20926186620727</c:v>
                </c:pt>
                <c:pt idx="825">
                  <c:v>928.20926186620727</c:v>
                </c:pt>
                <c:pt idx="826">
                  <c:v>928.20926186620727</c:v>
                </c:pt>
                <c:pt idx="827">
                  <c:v>928.20926186620727</c:v>
                </c:pt>
                <c:pt idx="828">
                  <c:v>928.20926186620727</c:v>
                </c:pt>
                <c:pt idx="829">
                  <c:v>928.20926186620727</c:v>
                </c:pt>
                <c:pt idx="830">
                  <c:v>928.20926186620727</c:v>
                </c:pt>
                <c:pt idx="831">
                  <c:v>928.20926186620727</c:v>
                </c:pt>
                <c:pt idx="832">
                  <c:v>928.20926186620727</c:v>
                </c:pt>
                <c:pt idx="833">
                  <c:v>928.20926186620727</c:v>
                </c:pt>
                <c:pt idx="834">
                  <c:v>928.20926186620727</c:v>
                </c:pt>
                <c:pt idx="835">
                  <c:v>928.20926186620727</c:v>
                </c:pt>
                <c:pt idx="836">
                  <c:v>928.20926186620727</c:v>
                </c:pt>
                <c:pt idx="837">
                  <c:v>928.20926186620727</c:v>
                </c:pt>
                <c:pt idx="838">
                  <c:v>928.20926186620727</c:v>
                </c:pt>
                <c:pt idx="839">
                  <c:v>928.20926186620727</c:v>
                </c:pt>
                <c:pt idx="840">
                  <c:v>928.20926186620727</c:v>
                </c:pt>
                <c:pt idx="841">
                  <c:v>928.20926186620727</c:v>
                </c:pt>
                <c:pt idx="842">
                  <c:v>928.20926186620727</c:v>
                </c:pt>
                <c:pt idx="843">
                  <c:v>928.20926186620727</c:v>
                </c:pt>
                <c:pt idx="844">
                  <c:v>928.20926186620727</c:v>
                </c:pt>
                <c:pt idx="845">
                  <c:v>928.20926186620727</c:v>
                </c:pt>
                <c:pt idx="846">
                  <c:v>928.20926186620727</c:v>
                </c:pt>
                <c:pt idx="847">
                  <c:v>928.20926186620727</c:v>
                </c:pt>
                <c:pt idx="848">
                  <c:v>928.20926186620727</c:v>
                </c:pt>
                <c:pt idx="849">
                  <c:v>928.20926186620727</c:v>
                </c:pt>
                <c:pt idx="850">
                  <c:v>928.20926186620727</c:v>
                </c:pt>
                <c:pt idx="851">
                  <c:v>928.20926186620727</c:v>
                </c:pt>
                <c:pt idx="852">
                  <c:v>928.20926186620727</c:v>
                </c:pt>
                <c:pt idx="853">
                  <c:v>928.20926186620727</c:v>
                </c:pt>
                <c:pt idx="854">
                  <c:v>928.20926186620727</c:v>
                </c:pt>
                <c:pt idx="855">
                  <c:v>928.20926186620727</c:v>
                </c:pt>
                <c:pt idx="856">
                  <c:v>928.20926186620727</c:v>
                </c:pt>
                <c:pt idx="857">
                  <c:v>928.20926186620727</c:v>
                </c:pt>
                <c:pt idx="858">
                  <c:v>928.20926186620727</c:v>
                </c:pt>
                <c:pt idx="859">
                  <c:v>928.20926186620727</c:v>
                </c:pt>
                <c:pt idx="860">
                  <c:v>928.20926186620727</c:v>
                </c:pt>
                <c:pt idx="861">
                  <c:v>928.20926186620727</c:v>
                </c:pt>
                <c:pt idx="862">
                  <c:v>928.20926186620727</c:v>
                </c:pt>
                <c:pt idx="863">
                  <c:v>928.20926186620727</c:v>
                </c:pt>
                <c:pt idx="864">
                  <c:v>928.20926186620727</c:v>
                </c:pt>
                <c:pt idx="865">
                  <c:v>928.20926186620727</c:v>
                </c:pt>
                <c:pt idx="866">
                  <c:v>928.20926186620727</c:v>
                </c:pt>
                <c:pt idx="867">
                  <c:v>928.20926186620727</c:v>
                </c:pt>
                <c:pt idx="868">
                  <c:v>928.20926186620727</c:v>
                </c:pt>
                <c:pt idx="869">
                  <c:v>928.20926186620727</c:v>
                </c:pt>
                <c:pt idx="870">
                  <c:v>928.20926186620727</c:v>
                </c:pt>
                <c:pt idx="871">
                  <c:v>928.20926186620727</c:v>
                </c:pt>
                <c:pt idx="872">
                  <c:v>928.20926186620727</c:v>
                </c:pt>
                <c:pt idx="873">
                  <c:v>928.20926186620727</c:v>
                </c:pt>
                <c:pt idx="874">
                  <c:v>928.20926186620727</c:v>
                </c:pt>
                <c:pt idx="875">
                  <c:v>928.20926186620727</c:v>
                </c:pt>
                <c:pt idx="876">
                  <c:v>928.20926186620727</c:v>
                </c:pt>
                <c:pt idx="877">
                  <c:v>928.20926186620727</c:v>
                </c:pt>
                <c:pt idx="878">
                  <c:v>928.20926186620727</c:v>
                </c:pt>
                <c:pt idx="879">
                  <c:v>928.20926186620727</c:v>
                </c:pt>
                <c:pt idx="880">
                  <c:v>928.20926186620727</c:v>
                </c:pt>
                <c:pt idx="881">
                  <c:v>928.20926186620727</c:v>
                </c:pt>
                <c:pt idx="882">
                  <c:v>928.20926186620727</c:v>
                </c:pt>
                <c:pt idx="883">
                  <c:v>928.20926186620727</c:v>
                </c:pt>
                <c:pt idx="884">
                  <c:v>928.20926186620727</c:v>
                </c:pt>
                <c:pt idx="885">
                  <c:v>928.20926186620727</c:v>
                </c:pt>
                <c:pt idx="886">
                  <c:v>928.20926186620727</c:v>
                </c:pt>
                <c:pt idx="887">
                  <c:v>928.20926186620727</c:v>
                </c:pt>
                <c:pt idx="888">
                  <c:v>928.20926186620727</c:v>
                </c:pt>
                <c:pt idx="889">
                  <c:v>928.20926186620727</c:v>
                </c:pt>
                <c:pt idx="890">
                  <c:v>928.20926186620727</c:v>
                </c:pt>
                <c:pt idx="891">
                  <c:v>928.20926186620727</c:v>
                </c:pt>
                <c:pt idx="892">
                  <c:v>928.20926186620727</c:v>
                </c:pt>
                <c:pt idx="893">
                  <c:v>928.20926186620727</c:v>
                </c:pt>
                <c:pt idx="894">
                  <c:v>928.20926186620727</c:v>
                </c:pt>
                <c:pt idx="895">
                  <c:v>928.20926186620727</c:v>
                </c:pt>
                <c:pt idx="896">
                  <c:v>928.20926186620727</c:v>
                </c:pt>
                <c:pt idx="897">
                  <c:v>928.20926186620727</c:v>
                </c:pt>
                <c:pt idx="898">
                  <c:v>928.20926186620727</c:v>
                </c:pt>
                <c:pt idx="899">
                  <c:v>928.20926186620727</c:v>
                </c:pt>
                <c:pt idx="900">
                  <c:v>928.20926186620727</c:v>
                </c:pt>
                <c:pt idx="901">
                  <c:v>928.20926186620727</c:v>
                </c:pt>
                <c:pt idx="902">
                  <c:v>928.20926186620727</c:v>
                </c:pt>
                <c:pt idx="903">
                  <c:v>928.20926186620727</c:v>
                </c:pt>
                <c:pt idx="904">
                  <c:v>928.20926186620727</c:v>
                </c:pt>
                <c:pt idx="905">
                  <c:v>928.20926186620727</c:v>
                </c:pt>
                <c:pt idx="906">
                  <c:v>928.20926186620727</c:v>
                </c:pt>
                <c:pt idx="907">
                  <c:v>928.20926186620727</c:v>
                </c:pt>
                <c:pt idx="908">
                  <c:v>928.20926186620727</c:v>
                </c:pt>
                <c:pt idx="909">
                  <c:v>928.20926186620727</c:v>
                </c:pt>
                <c:pt idx="910">
                  <c:v>928.20926186620727</c:v>
                </c:pt>
                <c:pt idx="911">
                  <c:v>928.20926186620727</c:v>
                </c:pt>
                <c:pt idx="912">
                  <c:v>928.20926186620727</c:v>
                </c:pt>
                <c:pt idx="913">
                  <c:v>928.20926186620727</c:v>
                </c:pt>
                <c:pt idx="914">
                  <c:v>928.20926186620727</c:v>
                </c:pt>
                <c:pt idx="915">
                  <c:v>928.20926186620727</c:v>
                </c:pt>
                <c:pt idx="916">
                  <c:v>928.20926186620727</c:v>
                </c:pt>
                <c:pt idx="917">
                  <c:v>928.20926186620727</c:v>
                </c:pt>
                <c:pt idx="918">
                  <c:v>928.20926186620727</c:v>
                </c:pt>
                <c:pt idx="919">
                  <c:v>928.20926186620727</c:v>
                </c:pt>
                <c:pt idx="920">
                  <c:v>928.20926186620727</c:v>
                </c:pt>
                <c:pt idx="921">
                  <c:v>928.20926186620727</c:v>
                </c:pt>
                <c:pt idx="922">
                  <c:v>928.20926186620727</c:v>
                </c:pt>
                <c:pt idx="923">
                  <c:v>928.20926186620727</c:v>
                </c:pt>
                <c:pt idx="924">
                  <c:v>928.20926186620727</c:v>
                </c:pt>
                <c:pt idx="925">
                  <c:v>928.20926186620727</c:v>
                </c:pt>
                <c:pt idx="926">
                  <c:v>928.20926186620727</c:v>
                </c:pt>
                <c:pt idx="927">
                  <c:v>928.20926186620727</c:v>
                </c:pt>
                <c:pt idx="928">
                  <c:v>928.20926186620727</c:v>
                </c:pt>
                <c:pt idx="929">
                  <c:v>928.20926186620727</c:v>
                </c:pt>
                <c:pt idx="930">
                  <c:v>928.20926186620727</c:v>
                </c:pt>
                <c:pt idx="931">
                  <c:v>928.20926186620727</c:v>
                </c:pt>
                <c:pt idx="932">
                  <c:v>928.20926186620727</c:v>
                </c:pt>
                <c:pt idx="933">
                  <c:v>928.20926186620727</c:v>
                </c:pt>
                <c:pt idx="934">
                  <c:v>928.20926186620727</c:v>
                </c:pt>
                <c:pt idx="935">
                  <c:v>928.20926186620727</c:v>
                </c:pt>
                <c:pt idx="936">
                  <c:v>928.20926186620727</c:v>
                </c:pt>
                <c:pt idx="937">
                  <c:v>928.20926186620727</c:v>
                </c:pt>
                <c:pt idx="938">
                  <c:v>928.20926186620727</c:v>
                </c:pt>
                <c:pt idx="939">
                  <c:v>928.20926186620727</c:v>
                </c:pt>
                <c:pt idx="940">
                  <c:v>928.20926186620727</c:v>
                </c:pt>
                <c:pt idx="941">
                  <c:v>928.20926186620727</c:v>
                </c:pt>
                <c:pt idx="942">
                  <c:v>928.20926186620727</c:v>
                </c:pt>
                <c:pt idx="943">
                  <c:v>928.20926186620727</c:v>
                </c:pt>
                <c:pt idx="944">
                  <c:v>928.20926186620727</c:v>
                </c:pt>
                <c:pt idx="945">
                  <c:v>928.20926186620727</c:v>
                </c:pt>
                <c:pt idx="946">
                  <c:v>928.20926186620727</c:v>
                </c:pt>
                <c:pt idx="947">
                  <c:v>928.20926186620727</c:v>
                </c:pt>
                <c:pt idx="948">
                  <c:v>928.20926186620727</c:v>
                </c:pt>
                <c:pt idx="949">
                  <c:v>928.20926186620727</c:v>
                </c:pt>
                <c:pt idx="950">
                  <c:v>928.20926186620727</c:v>
                </c:pt>
                <c:pt idx="951">
                  <c:v>928.20926186620727</c:v>
                </c:pt>
                <c:pt idx="952">
                  <c:v>928.20926186620727</c:v>
                </c:pt>
                <c:pt idx="953">
                  <c:v>928.20926186620727</c:v>
                </c:pt>
                <c:pt idx="954">
                  <c:v>928.20926186620727</c:v>
                </c:pt>
                <c:pt idx="955">
                  <c:v>928.20926186620727</c:v>
                </c:pt>
                <c:pt idx="956">
                  <c:v>928.20926186620727</c:v>
                </c:pt>
                <c:pt idx="957">
                  <c:v>928.20926186620727</c:v>
                </c:pt>
                <c:pt idx="958">
                  <c:v>928.20926186620727</c:v>
                </c:pt>
                <c:pt idx="959">
                  <c:v>928.20926186620727</c:v>
                </c:pt>
                <c:pt idx="960">
                  <c:v>928.20926186620727</c:v>
                </c:pt>
                <c:pt idx="961">
                  <c:v>928.20926186620727</c:v>
                </c:pt>
                <c:pt idx="962">
                  <c:v>928.20926186620727</c:v>
                </c:pt>
                <c:pt idx="963">
                  <c:v>928.20926186620727</c:v>
                </c:pt>
                <c:pt idx="964">
                  <c:v>928.20926186620727</c:v>
                </c:pt>
                <c:pt idx="965">
                  <c:v>928.20926186620727</c:v>
                </c:pt>
                <c:pt idx="966">
                  <c:v>928.20926186620727</c:v>
                </c:pt>
                <c:pt idx="967">
                  <c:v>928.20926186620727</c:v>
                </c:pt>
                <c:pt idx="968">
                  <c:v>928.20926186620727</c:v>
                </c:pt>
                <c:pt idx="969">
                  <c:v>928.20926186620727</c:v>
                </c:pt>
                <c:pt idx="970">
                  <c:v>928.20926186620727</c:v>
                </c:pt>
                <c:pt idx="971">
                  <c:v>928.20926186620727</c:v>
                </c:pt>
                <c:pt idx="972">
                  <c:v>928.20926186620727</c:v>
                </c:pt>
                <c:pt idx="973">
                  <c:v>928.20926186620727</c:v>
                </c:pt>
                <c:pt idx="974">
                  <c:v>928.20926186620727</c:v>
                </c:pt>
                <c:pt idx="975">
                  <c:v>928.20926186620727</c:v>
                </c:pt>
                <c:pt idx="976">
                  <c:v>928.20926186620727</c:v>
                </c:pt>
                <c:pt idx="977">
                  <c:v>928.20926186620727</c:v>
                </c:pt>
                <c:pt idx="978">
                  <c:v>928.20926186620727</c:v>
                </c:pt>
                <c:pt idx="979">
                  <c:v>928.20926186620727</c:v>
                </c:pt>
                <c:pt idx="980">
                  <c:v>928.20926186620727</c:v>
                </c:pt>
                <c:pt idx="981">
                  <c:v>928.20926186620727</c:v>
                </c:pt>
                <c:pt idx="982">
                  <c:v>928.20926186620727</c:v>
                </c:pt>
                <c:pt idx="983">
                  <c:v>928.20926186620727</c:v>
                </c:pt>
                <c:pt idx="984">
                  <c:v>928.20926186620727</c:v>
                </c:pt>
                <c:pt idx="985">
                  <c:v>928.20926186620727</c:v>
                </c:pt>
                <c:pt idx="986">
                  <c:v>928.20926186620727</c:v>
                </c:pt>
                <c:pt idx="987">
                  <c:v>928.20926186620727</c:v>
                </c:pt>
                <c:pt idx="988">
                  <c:v>928.20926186620727</c:v>
                </c:pt>
                <c:pt idx="989">
                  <c:v>928.20926186620727</c:v>
                </c:pt>
                <c:pt idx="990">
                  <c:v>928.20926186620727</c:v>
                </c:pt>
                <c:pt idx="991">
                  <c:v>928.20926186620727</c:v>
                </c:pt>
                <c:pt idx="992">
                  <c:v>928.20926186620727</c:v>
                </c:pt>
                <c:pt idx="993">
                  <c:v>928.20926186620727</c:v>
                </c:pt>
                <c:pt idx="994">
                  <c:v>928.20926186620727</c:v>
                </c:pt>
                <c:pt idx="995">
                  <c:v>928.20926186620727</c:v>
                </c:pt>
                <c:pt idx="996">
                  <c:v>928.20926186620727</c:v>
                </c:pt>
                <c:pt idx="997">
                  <c:v>928.20926186620727</c:v>
                </c:pt>
                <c:pt idx="998">
                  <c:v>928.20926186620727</c:v>
                </c:pt>
                <c:pt idx="999">
                  <c:v>928.20926186620727</c:v>
                </c:pt>
                <c:pt idx="1000">
                  <c:v>928.20926186620727</c:v>
                </c:pt>
              </c:numCache>
            </c:numRef>
          </c:xVal>
          <c:yVal>
            <c:numRef>
              <c:f>Calculs!$AE$4:$AE$1004</c:f>
              <c:numCache>
                <c:formatCode>0</c:formatCode>
                <c:ptCount val="1001"/>
                <c:pt idx="0">
                  <c:v>0</c:v>
                </c:pt>
                <c:pt idx="1">
                  <c:v>0.98473700747290427</c:v>
                </c:pt>
                <c:pt idx="2">
                  <c:v>1.9707925741889669</c:v>
                </c:pt>
                <c:pt idx="3">
                  <c:v>2.9610860184747216</c:v>
                </c:pt>
                <c:pt idx="4">
                  <c:v>3.9585357304745465</c:v>
                </c:pt>
                <c:pt idx="5">
                  <c:v>4.9660456277968521</c:v>
                </c:pt>
                <c:pt idx="6">
                  <c:v>5.9857801416581502</c:v>
                </c:pt>
                <c:pt idx="7">
                  <c:v>7.0184377263080782</c:v>
                </c:pt>
                <c:pt idx="8">
                  <c:v>8.0639758970996578</c:v>
                </c:pt>
                <c:pt idx="9">
                  <c:v>9.1223519271825548</c:v>
                </c:pt>
                <c:pt idx="10">
                  <c:v>10.193522849710263</c:v>
                </c:pt>
                <c:pt idx="11">
                  <c:v>11.277445460068151</c:v>
                </c:pt>
                <c:pt idx="12">
                  <c:v>12.374076318121705</c:v>
                </c:pt>
                <c:pt idx="13">
                  <c:v>13.483371750484361</c:v>
                </c:pt>
                <c:pt idx="14">
                  <c:v>14.605287852804278</c:v>
                </c:pt>
                <c:pt idx="15">
                  <c:v>15.739780492069482</c:v>
                </c:pt>
                <c:pt idx="16">
                  <c:v>16.886805308930761</c:v>
                </c:pt>
                <c:pt idx="17">
                  <c:v>18.046317720041731</c:v>
                </c:pt>
                <c:pt idx="18">
                  <c:v>19.218272920415501</c:v>
                </c:pt>
                <c:pt idx="19">
                  <c:v>20.402625885797381</c:v>
                </c:pt>
                <c:pt idx="20">
                  <c:v>21.599331375053055</c:v>
                </c:pt>
                <c:pt idx="21">
                  <c:v>22.808343932571688</c:v>
                </c:pt>
                <c:pt idx="22">
                  <c:v>24.029617890683419</c:v>
                </c:pt>
                <c:pt idx="23">
                  <c:v>25.263107372090694</c:v>
                </c:pt>
                <c:pt idx="24">
                  <c:v>26.508766292312938</c:v>
                </c:pt>
                <c:pt idx="25">
                  <c:v>27.766548362144015</c:v>
                </c:pt>
                <c:pt idx="26">
                  <c:v>29.036407090121966</c:v>
                </c:pt>
                <c:pt idx="27">
                  <c:v>30.318295785010548</c:v>
                </c:pt>
                <c:pt idx="28">
                  <c:v>31.612167558292008</c:v>
                </c:pt>
                <c:pt idx="29">
                  <c:v>32.917975326670643</c:v>
                </c:pt>
                <c:pt idx="30">
                  <c:v>34.235671814586652</c:v>
                </c:pt>
                <c:pt idx="31">
                  <c:v>35.565209556739731</c:v>
                </c:pt>
                <c:pt idx="32">
                  <c:v>36.906540900621998</c:v>
                </c:pt>
                <c:pt idx="33">
                  <c:v>38.259618009059736</c:v>
                </c:pt>
                <c:pt idx="34">
                  <c:v>39.624392862763472</c:v>
                </c:pt>
                <c:pt idx="35">
                  <c:v>41.000817262885903</c:v>
                </c:pt>
                <c:pt idx="36">
                  <c:v>42.388842833587283</c:v>
                </c:pt>
                <c:pt idx="37">
                  <c:v>43.788421024607679</c:v>
                </c:pt>
                <c:pt idx="38">
                  <c:v>45.199503113845751</c:v>
                </c:pt>
                <c:pt idx="39">
                  <c:v>46.622040209943556</c:v>
                </c:pt>
                <c:pt idx="40">
                  <c:v>48.055983254876885</c:v>
                </c:pt>
                <c:pt idx="41">
                  <c:v>49.501283026550759</c:v>
                </c:pt>
                <c:pt idx="42">
                  <c:v>50.957890141399595</c:v>
                </c:pt>
                <c:pt idx="43">
                  <c:v>52.425755056991591</c:v>
                </c:pt>
                <c:pt idx="44">
                  <c:v>53.904828074636939</c:v>
                </c:pt>
                <c:pt idx="45">
                  <c:v>55.395059341999392</c:v>
                </c:pt>
                <c:pt idx="46">
                  <c:v>56.896398855710757</c:v>
                </c:pt>
                <c:pt idx="47">
                  <c:v>58.408796463987933</c:v>
                </c:pt>
                <c:pt idx="48">
                  <c:v>59.932201869252012</c:v>
                </c:pt>
                <c:pt idx="49">
                  <c:v>61.466564630749055</c:v>
                </c:pt>
                <c:pt idx="50">
                  <c:v>63.011834167172154</c:v>
                </c:pt>
                <c:pt idx="51">
                  <c:v>64.567963696245272</c:v>
                </c:pt>
                <c:pt idx="52">
                  <c:v>66.13491417602863</c:v>
                </c:pt>
                <c:pt idx="53">
                  <c:v>67.712650368503375</c:v>
                </c:pt>
                <c:pt idx="54">
                  <c:v>69.301136901011404</c:v>
                </c:pt>
                <c:pt idx="55">
                  <c:v>70.900338268033593</c:v>
                </c:pt>
                <c:pt idx="56">
                  <c:v>72.510218832972328</c:v>
                </c:pt>
                <c:pt idx="57">
                  <c:v>74.130742829938129</c:v>
                </c:pt>
                <c:pt idx="58">
                  <c:v>75.761874365540137</c:v>
                </c:pt>
                <c:pt idx="59">
                  <c:v>77.403577420680165</c:v>
                </c:pt>
                <c:pt idx="60">
                  <c:v>79.055815852350065</c:v>
                </c:pt>
                <c:pt idx="61">
                  <c:v>80.718553395432181</c:v>
                </c:pt>
                <c:pt idx="62">
                  <c:v>82.391753664502673</c:v>
                </c:pt>
                <c:pt idx="63">
                  <c:v>84.075380155637333</c:v>
                </c:pt>
                <c:pt idx="64">
                  <c:v>85.769396248219863</c:v>
                </c:pt>
                <c:pt idx="65">
                  <c:v>87.473765206752091</c:v>
                </c:pt>
                <c:pt idx="66">
                  <c:v>89.188450182666188</c:v>
                </c:pt>
                <c:pt idx="67">
                  <c:v>90.913414216138392</c:v>
                </c:pt>
                <c:pt idx="68">
                  <c:v>92.64862023790414</c:v>
                </c:pt>
                <c:pt idx="69">
                  <c:v>94.394031071074309</c:v>
                </c:pt>
                <c:pt idx="70">
                  <c:v>96.14960943295236</c:v>
                </c:pt>
                <c:pt idx="71">
                  <c:v>97.915317936852134</c:v>
                </c:pt>
                <c:pt idx="72">
                  <c:v>99.691119093916086</c:v>
                </c:pt>
                <c:pt idx="73">
                  <c:v>101.47697531493367</c:v>
                </c:pt>
                <c:pt idx="74">
                  <c:v>103.27284891215973</c:v>
                </c:pt>
                <c:pt idx="75">
                  <c:v>105.07870210113261</c:v>
                </c:pt>
                <c:pt idx="76">
                  <c:v>106.8944970024917</c:v>
                </c:pt>
                <c:pt idx="77">
                  <c:v>108.72019564379444</c:v>
                </c:pt>
                <c:pt idx="78">
                  <c:v>110.55575996133214</c:v>
                </c:pt>
                <c:pt idx="79">
                  <c:v>112.40115180194485</c:v>
                </c:pt>
                <c:pt idx="80">
                  <c:v>114.25633292483468</c:v>
                </c:pt>
                <c:pt idx="81">
                  <c:v>116.12126500337764</c:v>
                </c:pt>
                <c:pt idx="82">
                  <c:v>117.99590962693364</c:v>
                </c:pt>
                <c:pt idx="83">
                  <c:v>119.88022830265433</c:v>
                </c:pt>
                <c:pt idx="84">
                  <c:v>121.77418245728894</c:v>
                </c:pt>
                <c:pt idx="85">
                  <c:v>123.67773343898742</c:v>
                </c:pt>
                <c:pt idx="86">
                  <c:v>125.59084251910106</c:v>
                </c:pt>
                <c:pt idx="87">
                  <c:v>127.51347089398026</c:v>
                </c:pt>
                <c:pt idx="88">
                  <c:v>129.44557968676909</c:v>
                </c:pt>
                <c:pt idx="89">
                  <c:v>131.38712994919675</c:v>
                </c:pt>
                <c:pt idx="90">
                  <c:v>133.33808266336544</c:v>
                </c:pt>
                <c:pt idx="91">
                  <c:v>135.29839874353465</c:v>
                </c:pt>
                <c:pt idx="92">
                  <c:v>137.26803903790145</c:v>
                </c:pt>
                <c:pt idx="93">
                  <c:v>139.24696433037687</c:v>
                </c:pt>
                <c:pt idx="94">
                  <c:v>141.23513534235798</c:v>
                </c:pt>
                <c:pt idx="95">
                  <c:v>143.23251273449554</c:v>
                </c:pt>
                <c:pt idx="96">
                  <c:v>145.23905710845696</c:v>
                </c:pt>
                <c:pt idx="97">
                  <c:v>147.25472900868456</c:v>
                </c:pt>
                <c:pt idx="98">
                  <c:v>149.27948892414881</c:v>
                </c:pt>
                <c:pt idx="99">
                  <c:v>151.3132972900963</c:v>
                </c:pt>
                <c:pt idx="100">
                  <c:v>153.35611448979256</c:v>
                </c:pt>
                <c:pt idx="101">
                  <c:v>155.40789902147051</c:v>
                </c:pt>
                <c:pt idx="102">
                  <c:v>157.46860566617082</c:v>
                </c:pt>
                <c:pt idx="103">
                  <c:v>159.53818732851278</c:v>
                </c:pt>
                <c:pt idx="104">
                  <c:v>161.61659687672525</c:v>
                </c:pt>
                <c:pt idx="105">
                  <c:v>163.70378714468549</c:v>
                </c:pt>
                <c:pt idx="106">
                  <c:v>165.79971093394778</c:v>
                </c:pt>
                <c:pt idx="107">
                  <c:v>167.90432101576221</c:v>
                </c:pt>
                <c:pt idx="108">
                  <c:v>170.01757013308296</c:v>
                </c:pt>
                <c:pt idx="109">
                  <c:v>172.13941100256613</c:v>
                </c:pt>
                <c:pt idx="110">
                  <c:v>174.26979631655689</c:v>
                </c:pt>
                <c:pt idx="111">
                  <c:v>176.4086787450658</c:v>
                </c:pt>
                <c:pt idx="112">
                  <c:v>178.55601093773407</c:v>
                </c:pt>
                <c:pt idx="113">
                  <c:v>180.71174552578765</c:v>
                </c:pt>
                <c:pt idx="114">
                  <c:v>182.87583512397993</c:v>
                </c:pt>
                <c:pt idx="115">
                  <c:v>185.04823233252293</c:v>
                </c:pt>
                <c:pt idx="116">
                  <c:v>187.22888973900692</c:v>
                </c:pt>
                <c:pt idx="117">
                  <c:v>189.41775992030801</c:v>
                </c:pt>
                <c:pt idx="118">
                  <c:v>191.61479544448395</c:v>
                </c:pt>
                <c:pt idx="119">
                  <c:v>193.81994887265762</c:v>
                </c:pt>
                <c:pt idx="120">
                  <c:v>196.03317276088848</c:v>
                </c:pt>
                <c:pt idx="121">
                  <c:v>198.25441966203144</c:v>
                </c:pt>
                <c:pt idx="122">
                  <c:v>200.48364212758315</c:v>
                </c:pt>
                <c:pt idx="123">
                  <c:v>202.72079270951585</c:v>
                </c:pt>
                <c:pt idx="124">
                  <c:v>204.96582396209809</c:v>
                </c:pt>
                <c:pt idx="125">
                  <c:v>207.2186884437028</c:v>
                </c:pt>
                <c:pt idx="126">
                  <c:v>209.47933871860215</c:v>
                </c:pt>
                <c:pt idx="127">
                  <c:v>211.7477273587493</c:v>
                </c:pt>
                <c:pt idx="128">
                  <c:v>214.0238069455468</c:v>
                </c:pt>
                <c:pt idx="129">
                  <c:v>216.30753007160166</c:v>
                </c:pt>
                <c:pt idx="130">
                  <c:v>218.59884934246691</c:v>
                </c:pt>
                <c:pt idx="131">
                  <c:v>220.89771737836946</c:v>
                </c:pt>
                <c:pt idx="132">
                  <c:v>223.20408681592434</c:v>
                </c:pt>
                <c:pt idx="133">
                  <c:v>225.51791030983512</c:v>
                </c:pt>
                <c:pt idx="134">
                  <c:v>227.83914053458034</c:v>
                </c:pt>
                <c:pt idx="135">
                  <c:v>230.16773018608603</c:v>
                </c:pt>
                <c:pt idx="136">
                  <c:v>232.50363198338414</c:v>
                </c:pt>
                <c:pt idx="137">
                  <c:v>234.84679867025673</c:v>
                </c:pt>
                <c:pt idx="138">
                  <c:v>237.19718301686595</c:v>
                </c:pt>
                <c:pt idx="139">
                  <c:v>239.55473782136974</c:v>
                </c:pt>
                <c:pt idx="140">
                  <c:v>241.91941591152303</c:v>
                </c:pt>
                <c:pt idx="141">
                  <c:v>244.29117014626451</c:v>
                </c:pt>
                <c:pt idx="142">
                  <c:v>246.66995341728881</c:v>
                </c:pt>
                <c:pt idx="143">
                  <c:v>249.05571865060426</c:v>
                </c:pt>
                <c:pt idx="144">
                  <c:v>251.44841880807564</c:v>
                </c:pt>
                <c:pt idx="145">
                  <c:v>253.84800688895251</c:v>
                </c:pt>
                <c:pt idx="146">
                  <c:v>256.2544359313826</c:v>
                </c:pt>
                <c:pt idx="147">
                  <c:v>258.66765901391034</c:v>
                </c:pt>
                <c:pt idx="148">
                  <c:v>261.08762925696061</c:v>
                </c:pt>
                <c:pt idx="149">
                  <c:v>263.5142998243075</c:v>
                </c:pt>
                <c:pt idx="150">
                  <c:v>265.94762392452799</c:v>
                </c:pt>
                <c:pt idx="151">
                  <c:v>268.38755544311249</c:v>
                </c:pt>
                <c:pt idx="152">
                  <c:v>270.83404957368759</c:v>
                </c:pt>
                <c:pt idx="153">
                  <c:v>273.28706218623444</c:v>
                </c:pt>
                <c:pt idx="154">
                  <c:v>275.74654919612357</c:v>
                </c:pt>
                <c:pt idx="155">
                  <c:v>278.21246656541138</c:v>
                </c:pt>
                <c:pt idx="156">
                  <c:v>280.68477030412311</c:v>
                </c:pt>
                <c:pt idx="157">
                  <c:v>283.16341647152194</c:v>
                </c:pt>
                <c:pt idx="158">
                  <c:v>285.64836117736445</c:v>
                </c:pt>
                <c:pt idx="159">
                  <c:v>288.13956058314193</c:v>
                </c:pt>
                <c:pt idx="160">
                  <c:v>290.6369709033084</c:v>
                </c:pt>
                <c:pt idx="161">
                  <c:v>293.14054840649425</c:v>
                </c:pt>
                <c:pt idx="162">
                  <c:v>295.65024941670663</c:v>
                </c:pt>
                <c:pt idx="163">
                  <c:v>298.16603031451535</c:v>
                </c:pt>
                <c:pt idx="164">
                  <c:v>300.68784753822553</c:v>
                </c:pt>
                <c:pt idx="165">
                  <c:v>303.21565758503584</c:v>
                </c:pt>
                <c:pt idx="166">
                  <c:v>305.74941701218341</c:v>
                </c:pt>
                <c:pt idx="167">
                  <c:v>308.28908243807433</c:v>
                </c:pt>
                <c:pt idx="168">
                  <c:v>310.83461054340074</c:v>
                </c:pt>
                <c:pt idx="169">
                  <c:v>313.38595807224374</c:v>
                </c:pt>
                <c:pt idx="170">
                  <c:v>315.94308183316269</c:v>
                </c:pt>
                <c:pt idx="171">
                  <c:v>318.50593870027041</c:v>
                </c:pt>
                <c:pt idx="172">
                  <c:v>321.07448561429476</c:v>
                </c:pt>
                <c:pt idx="173">
                  <c:v>323.64867958362618</c:v>
                </c:pt>
                <c:pt idx="174">
                  <c:v>326.22847768535166</c:v>
                </c:pt>
                <c:pt idx="175">
                  <c:v>328.81383706627469</c:v>
                </c:pt>
                <c:pt idx="176">
                  <c:v>331.40471494392153</c:v>
                </c:pt>
                <c:pt idx="177">
                  <c:v>334.00106860753368</c:v>
                </c:pt>
                <c:pt idx="178">
                  <c:v>336.6028554190467</c:v>
                </c:pt>
                <c:pt idx="179">
                  <c:v>339.21003281405518</c:v>
                </c:pt>
                <c:pt idx="180">
                  <c:v>341.82255830276409</c:v>
                </c:pt>
                <c:pt idx="181">
                  <c:v>344.4403894709265</c:v>
                </c:pt>
                <c:pt idx="182">
                  <c:v>347.06348398076761</c:v>
                </c:pt>
                <c:pt idx="183">
                  <c:v>349.6917995718951</c:v>
                </c:pt>
                <c:pt idx="184">
                  <c:v>352.32529406219612</c:v>
                </c:pt>
                <c:pt idx="185">
                  <c:v>354.96392534872047</c:v>
                </c:pt>
                <c:pt idx="186">
                  <c:v>357.60765140855068</c:v>
                </c:pt>
                <c:pt idx="187">
                  <c:v>360.25643029965806</c:v>
                </c:pt>
                <c:pt idx="188">
                  <c:v>362.91022016174588</c:v>
                </c:pt>
                <c:pt idx="189">
                  <c:v>365.56897921707883</c:v>
                </c:pt>
                <c:pt idx="190">
                  <c:v>368.2326657712992</c:v>
                </c:pt>
                <c:pt idx="191">
                  <c:v>370.90123821422986</c:v>
                </c:pt>
                <c:pt idx="192">
                  <c:v>373.57465502066395</c:v>
                </c:pt>
                <c:pt idx="193">
                  <c:v>376.25287475114129</c:v>
                </c:pt>
                <c:pt idx="194">
                  <c:v>378.93585605271164</c:v>
                </c:pt>
                <c:pt idx="195">
                  <c:v>381.62355765968505</c:v>
                </c:pt>
                <c:pt idx="196">
                  <c:v>384.31593839436891</c:v>
                </c:pt>
                <c:pt idx="197">
                  <c:v>387.01295716779208</c:v>
                </c:pt>
                <c:pt idx="198">
                  <c:v>389.71457298041616</c:v>
                </c:pt>
                <c:pt idx="199">
                  <c:v>392.42074492283371</c:v>
                </c:pt>
                <c:pt idx="200">
                  <c:v>395.13143217645376</c:v>
                </c:pt>
                <c:pt idx="201">
                  <c:v>397.84659401417463</c:v>
                </c:pt>
                <c:pt idx="202">
                  <c:v>400.56618980104372</c:v>
                </c:pt>
                <c:pt idx="203">
                  <c:v>403.29017899490486</c:v>
                </c:pt>
                <c:pt idx="204">
                  <c:v>406.0185211470332</c:v>
                </c:pt>
                <c:pt idx="205">
                  <c:v>408.7511759027571</c:v>
                </c:pt>
                <c:pt idx="206">
                  <c:v>411.48810300206821</c:v>
                </c:pt>
                <c:pt idx="207">
                  <c:v>414.22926228021845</c:v>
                </c:pt>
                <c:pt idx="208">
                  <c:v>416.97461366830515</c:v>
                </c:pt>
                <c:pt idx="209">
                  <c:v>419.72411719384377</c:v>
                </c:pt>
                <c:pt idx="210">
                  <c:v>422.4777329813283</c:v>
                </c:pt>
                <c:pt idx="211">
                  <c:v>425.2354212527797</c:v>
                </c:pt>
                <c:pt idx="212">
                  <c:v>427.99714232828211</c:v>
                </c:pt>
                <c:pt idx="213">
                  <c:v>430.76285662650719</c:v>
                </c:pt>
                <c:pt idx="214">
                  <c:v>433.53252466522645</c:v>
                </c:pt>
                <c:pt idx="215">
                  <c:v>436.30610706181182</c:v>
                </c:pt>
                <c:pt idx="216">
                  <c:v>439.08356453372431</c:v>
                </c:pt>
                <c:pt idx="217">
                  <c:v>441.8648578989912</c:v>
                </c:pt>
                <c:pt idx="218">
                  <c:v>444.64994807667131</c:v>
                </c:pt>
                <c:pt idx="219">
                  <c:v>447.43879608730873</c:v>
                </c:pt>
                <c:pt idx="220">
                  <c:v>450.2313630533755</c:v>
                </c:pt>
                <c:pt idx="221">
                  <c:v>453.02761019970228</c:v>
                </c:pt>
                <c:pt idx="222">
                  <c:v>455.82749885389813</c:v>
                </c:pt>
                <c:pt idx="223">
                  <c:v>458.63099044675897</c:v>
                </c:pt>
                <c:pt idx="224">
                  <c:v>461.43804651266464</c:v>
                </c:pt>
                <c:pt idx="225">
                  <c:v>464.24862868996513</c:v>
                </c:pt>
                <c:pt idx="226">
                  <c:v>467.06269872135573</c:v>
                </c:pt>
                <c:pt idx="227">
                  <c:v>469.88021845424123</c:v>
                </c:pt>
                <c:pt idx="228">
                  <c:v>472.70114984108926</c:v>
                </c:pt>
                <c:pt idx="229">
                  <c:v>475.52545493977289</c:v>
                </c:pt>
                <c:pt idx="230">
                  <c:v>478.35309591390251</c:v>
                </c:pt>
                <c:pt idx="231">
                  <c:v>481.18403503314727</c:v>
                </c:pt>
                <c:pt idx="232">
                  <c:v>484.01823467354569</c:v>
                </c:pt>
                <c:pt idx="233">
                  <c:v>486.85565731780628</c:v>
                </c:pt>
                <c:pt idx="234">
                  <c:v>489.69626555559734</c:v>
                </c:pt>
                <c:pt idx="235">
                  <c:v>492.54002208382673</c:v>
                </c:pt>
                <c:pt idx="236">
                  <c:v>495.38688970691163</c:v>
                </c:pt>
                <c:pt idx="237">
                  <c:v>498.23683133703787</c:v>
                </c:pt>
                <c:pt idx="238">
                  <c:v>501.08980999440939</c:v>
                </c:pt>
                <c:pt idx="239">
                  <c:v>503.94578880748787</c:v>
                </c:pt>
                <c:pt idx="240">
                  <c:v>506.80473101322235</c:v>
                </c:pt>
                <c:pt idx="241">
                  <c:v>509.66659995726928</c:v>
                </c:pt>
                <c:pt idx="242">
                  <c:v>512.5313590942028</c:v>
                </c:pt>
                <c:pt idx="243">
                  <c:v>515.3989719877153</c:v>
                </c:pt>
                <c:pt idx="244">
                  <c:v>518.26940231080891</c:v>
                </c:pt>
                <c:pt idx="245">
                  <c:v>521.14261384597705</c:v>
                </c:pt>
                <c:pt idx="246">
                  <c:v>524.01857048537704</c:v>
                </c:pt>
                <c:pt idx="247">
                  <c:v>526.89723623099349</c:v>
                </c:pt>
                <c:pt idx="248">
                  <c:v>529.7785751947921</c:v>
                </c:pt>
                <c:pt idx="249">
                  <c:v>532.66255159886509</c:v>
                </c:pt>
                <c:pt idx="250">
                  <c:v>535.54912977556694</c:v>
                </c:pt>
                <c:pt idx="251">
                  <c:v>538.43827139841926</c:v>
                </c:pt>
                <c:pt idx="252">
                  <c:v>541.3299327204312</c:v>
                </c:pt>
                <c:pt idx="253">
                  <c:v>544.22406736100527</c:v>
                </c:pt>
                <c:pt idx="254">
                  <c:v>547.12062908546022</c:v>
                </c:pt>
                <c:pt idx="255">
                  <c:v>550.01957180521993</c:v>
                </c:pt>
                <c:pt idx="256">
                  <c:v>552.92084957798886</c:v>
                </c:pt>
                <c:pt idx="257">
                  <c:v>555.82441660791301</c:v>
                </c:pt>
                <c:pt idx="258">
                  <c:v>558.73022724572775</c:v>
                </c:pt>
                <c:pt idx="259">
                  <c:v>561.63823598889178</c:v>
                </c:pt>
                <c:pt idx="260">
                  <c:v>564.54839748170787</c:v>
                </c:pt>
                <c:pt idx="261">
                  <c:v>567.46066651543026</c:v>
                </c:pt>
                <c:pt idx="262">
                  <c:v>570.37499802835907</c:v>
                </c:pt>
                <c:pt idx="263">
                  <c:v>573.29134710592143</c:v>
                </c:pt>
                <c:pt idx="264">
                  <c:v>576.20966898074039</c:v>
                </c:pt>
                <c:pt idx="265">
                  <c:v>579.12991903269051</c:v>
                </c:pt>
                <c:pt idx="266">
                  <c:v>582.0520527889413</c:v>
                </c:pt>
                <c:pt idx="267">
                  <c:v>584.97602592398846</c:v>
                </c:pt>
                <c:pt idx="268">
                  <c:v>587.90179425967244</c:v>
                </c:pt>
                <c:pt idx="269">
                  <c:v>590.82931376518513</c:v>
                </c:pt>
                <c:pt idx="270">
                  <c:v>593.75854055706498</c:v>
                </c:pt>
                <c:pt idx="271">
                  <c:v>596.68943089917968</c:v>
                </c:pt>
                <c:pt idx="272">
                  <c:v>599.62194120269771</c:v>
                </c:pt>
                <c:pt idx="273">
                  <c:v>602.55602802604824</c:v>
                </c:pt>
                <c:pt idx="274">
                  <c:v>605.49164807486932</c:v>
                </c:pt>
                <c:pt idx="275">
                  <c:v>608.4287582019457</c:v>
                </c:pt>
                <c:pt idx="276">
                  <c:v>611.36731540713481</c:v>
                </c:pt>
                <c:pt idx="277">
                  <c:v>614.30727683728219</c:v>
                </c:pt>
                <c:pt idx="278">
                  <c:v>617.24859978612585</c:v>
                </c:pt>
                <c:pt idx="279">
                  <c:v>620.19124169419069</c:v>
                </c:pt>
                <c:pt idx="280">
                  <c:v>623.13516014867139</c:v>
                </c:pt>
                <c:pt idx="281">
                  <c:v>626.08031288330585</c:v>
                </c:pt>
                <c:pt idx="282">
                  <c:v>629.0266577782379</c:v>
                </c:pt>
                <c:pt idx="283">
                  <c:v>631.97415285987029</c:v>
                </c:pt>
                <c:pt idx="284">
                  <c:v>634.92275630070731</c:v>
                </c:pt>
                <c:pt idx="285">
                  <c:v>637.87242641918806</c:v>
                </c:pt>
                <c:pt idx="286">
                  <c:v>640.82312167950988</c:v>
                </c:pt>
                <c:pt idx="287">
                  <c:v>643.77480069144224</c:v>
                </c:pt>
                <c:pt idx="288">
                  <c:v>646.72742221013118</c:v>
                </c:pt>
                <c:pt idx="289">
                  <c:v>649.68094513589472</c:v>
                </c:pt>
                <c:pt idx="290">
                  <c:v>652.63532851400896</c:v>
                </c:pt>
                <c:pt idx="291">
                  <c:v>655.59053153448519</c:v>
                </c:pt>
                <c:pt idx="292">
                  <c:v>658.54651353183851</c:v>
                </c:pt>
                <c:pt idx="293">
                  <c:v>661.50323398484727</c:v>
                </c:pt>
                <c:pt idx="294">
                  <c:v>664.46065251630421</c:v>
                </c:pt>
                <c:pt idx="295">
                  <c:v>667.41872889275896</c:v>
                </c:pt>
                <c:pt idx="296">
                  <c:v>670.37742302425261</c:v>
                </c:pt>
                <c:pt idx="297">
                  <c:v>673.33669496404377</c:v>
                </c:pt>
                <c:pt idx="298">
                  <c:v>676.29647430934915</c:v>
                </c:pt>
                <c:pt idx="299">
                  <c:v>679.25662970024234</c:v>
                </c:pt>
                <c:pt idx="300">
                  <c:v>682.21699963949482</c:v>
                </c:pt>
                <c:pt idx="301">
                  <c:v>685.17742321519722</c:v>
                </c:pt>
                <c:pt idx="302">
                  <c:v>688.13774010228497</c:v>
                </c:pt>
                <c:pt idx="303">
                  <c:v>691.09779056391767</c:v>
                </c:pt>
                <c:pt idx="304">
                  <c:v>694.0574154527128</c:v>
                </c:pt>
                <c:pt idx="305">
                  <c:v>697.01645621183729</c:v>
                </c:pt>
                <c:pt idx="306">
                  <c:v>699.97475487595773</c:v>
                </c:pt>
                <c:pt idx="307">
                  <c:v>702.9321540720515</c:v>
                </c:pt>
                <c:pt idx="308">
                  <c:v>705.8884970200819</c:v>
                </c:pt>
                <c:pt idx="309">
                  <c:v>708.84362753353707</c:v>
                </c:pt>
                <c:pt idx="310">
                  <c:v>711.79739001983717</c:v>
                </c:pt>
                <c:pt idx="311">
                  <c:v>714.74962948060943</c:v>
                </c:pt>
                <c:pt idx="312">
                  <c:v>717.70019151183567</c:v>
                </c:pt>
                <c:pt idx="313">
                  <c:v>720.64892230387136</c:v>
                </c:pt>
                <c:pt idx="314">
                  <c:v>723.59566864134092</c:v>
                </c:pt>
                <c:pt idx="315">
                  <c:v>726.54027790290945</c:v>
                </c:pt>
                <c:pt idx="316">
                  <c:v>729.48259806093381</c:v>
                </c:pt>
                <c:pt idx="317">
                  <c:v>732.42247768099435</c:v>
                </c:pt>
                <c:pt idx="318">
                  <c:v>735.35976592130987</c:v>
                </c:pt>
                <c:pt idx="319">
                  <c:v>738.29431253203791</c:v>
                </c:pt>
                <c:pt idx="320">
                  <c:v>741.22596785446115</c:v>
                </c:pt>
                <c:pt idx="321">
                  <c:v>744.15459501406895</c:v>
                </c:pt>
                <c:pt idx="322">
                  <c:v>747.08008206564102</c:v>
                </c:pt>
                <c:pt idx="323">
                  <c:v>750.00232969730439</c:v>
                </c:pt>
                <c:pt idx="324">
                  <c:v>752.92123898225566</c:v>
                </c:pt>
                <c:pt idx="325">
                  <c:v>755.83671137720887</c:v>
                </c:pt>
                <c:pt idx="326">
                  <c:v>758.74864872080457</c:v>
                </c:pt>
                <c:pt idx="327">
                  <c:v>761.65695323198054</c:v>
                </c:pt>
                <c:pt idx="328">
                  <c:v>764.56152750830597</c:v>
                </c:pt>
                <c:pt idx="329">
                  <c:v>767.46227452427888</c:v>
                </c:pt>
                <c:pt idx="330">
                  <c:v>770.35909762958784</c:v>
                </c:pt>
                <c:pt idx="331">
                  <c:v>773.25190054733946</c:v>
                </c:pt>
                <c:pt idx="332">
                  <c:v>776.14058737225184</c:v>
                </c:pt>
                <c:pt idx="333">
                  <c:v>779.02506256881418</c:v>
                </c:pt>
                <c:pt idx="334">
                  <c:v>781.90523096941467</c:v>
                </c:pt>
                <c:pt idx="335">
                  <c:v>784.78099777243631</c:v>
                </c:pt>
                <c:pt idx="336">
                  <c:v>787.65226854032164</c:v>
                </c:pt>
                <c:pt idx="337">
                  <c:v>790.51894919760764</c:v>
                </c:pt>
                <c:pt idx="338">
                  <c:v>793.38094602893091</c:v>
                </c:pt>
                <c:pt idx="339">
                  <c:v>796.23816567700374</c:v>
                </c:pt>
                <c:pt idx="340">
                  <c:v>799.09051514056284</c:v>
                </c:pt>
                <c:pt idx="341">
                  <c:v>801.93790177228971</c:v>
                </c:pt>
                <c:pt idx="342">
                  <c:v>804.78023327670508</c:v>
                </c:pt>
                <c:pt idx="343">
                  <c:v>807.6174177080369</c:v>
                </c:pt>
                <c:pt idx="344">
                  <c:v>810.4493634680631</c:v>
                </c:pt>
                <c:pt idx="345">
                  <c:v>813.2759793039296</c:v>
                </c:pt>
                <c:pt idx="346">
                  <c:v>816.09717430594401</c:v>
                </c:pt>
                <c:pt idx="347">
                  <c:v>818.91285790534641</c:v>
                </c:pt>
                <c:pt idx="348">
                  <c:v>821.72294118822538</c:v>
                </c:pt>
                <c:pt idx="349">
                  <c:v>824.52733820371998</c:v>
                </c:pt>
                <c:pt idx="350">
                  <c:v>827.32596463408004</c:v>
                </c:pt>
                <c:pt idx="351">
                  <c:v>830.1187364704416</c:v>
                </c:pt>
                <c:pt idx="352">
                  <c:v>832.90557001058255</c:v>
                </c:pt>
                <c:pt idx="353">
                  <c:v>835.68638185666168</c:v>
                </c:pt>
                <c:pt idx="354">
                  <c:v>838.46108891294227</c:v>
                </c:pt>
                <c:pt idx="355">
                  <c:v>841.2296083835007</c:v>
                </c:pt>
                <c:pt idx="356">
                  <c:v>843.99185776992022</c:v>
                </c:pt>
                <c:pt idx="357">
                  <c:v>846.74775486897045</c:v>
                </c:pt>
                <c:pt idx="358">
                  <c:v>849.49721777027344</c:v>
                </c:pt>
                <c:pt idx="359">
                  <c:v>852.24016485395634</c:v>
                </c:pt>
                <c:pt idx="360">
                  <c:v>854.97654215868852</c:v>
                </c:pt>
                <c:pt idx="361">
                  <c:v>857.70635062848544</c:v>
                </c:pt>
                <c:pt idx="362">
                  <c:v>860.42961849976757</c:v>
                </c:pt>
                <c:pt idx="363">
                  <c:v>863.14637381175601</c:v>
                </c:pt>
                <c:pt idx="364">
                  <c:v>865.85664440831601</c:v>
                </c:pt>
                <c:pt idx="365">
                  <c:v>868.56045793977842</c:v>
                </c:pt>
                <c:pt idx="366">
                  <c:v>871.25784186474016</c:v>
                </c:pt>
                <c:pt idx="367">
                  <c:v>873.9488234518434</c:v>
                </c:pt>
                <c:pt idx="368">
                  <c:v>876.63342978153457</c:v>
                </c:pt>
                <c:pt idx="369">
                  <c:v>879.31168774780201</c:v>
                </c:pt>
                <c:pt idx="370">
                  <c:v>881.98362405989451</c:v>
                </c:pt>
                <c:pt idx="371">
                  <c:v>884.64926524401915</c:v>
                </c:pt>
                <c:pt idx="372">
                  <c:v>887.30863764501999</c:v>
                </c:pt>
                <c:pt idx="373">
                  <c:v>889.96176742803766</c:v>
                </c:pt>
                <c:pt idx="374">
                  <c:v>892.60868058014921</c:v>
                </c:pt>
                <c:pt idx="375">
                  <c:v>895.2494029119897</c:v>
                </c:pt>
                <c:pt idx="376">
                  <c:v>897.88396005935545</c:v>
                </c:pt>
                <c:pt idx="377">
                  <c:v>900.5123774847882</c:v>
                </c:pt>
                <c:pt idx="378">
                  <c:v>903.13468047914216</c:v>
                </c:pt>
                <c:pt idx="379">
                  <c:v>905.75089416313267</c:v>
                </c:pt>
                <c:pt idx="380">
                  <c:v>908.36104348886784</c:v>
                </c:pt>
                <c:pt idx="381">
                  <c:v>910.96515324136226</c:v>
                </c:pt>
                <c:pt idx="382">
                  <c:v>913.56324804003418</c:v>
                </c:pt>
                <c:pt idx="383">
                  <c:v>916.1553523401858</c:v>
                </c:pt>
                <c:pt idx="384">
                  <c:v>918.74149043446653</c:v>
                </c:pt>
                <c:pt idx="385">
                  <c:v>921.32168645432034</c:v>
                </c:pt>
                <c:pt idx="386">
                  <c:v>923.89596437141699</c:v>
                </c:pt>
                <c:pt idx="387">
                  <c:v>926.46434799906694</c:v>
                </c:pt>
                <c:pt idx="388">
                  <c:v>929.02686099362063</c:v>
                </c:pt>
                <c:pt idx="389">
                  <c:v>931.58352685585248</c:v>
                </c:pt>
                <c:pt idx="390">
                  <c:v>934.13436893232949</c:v>
                </c:pt>
                <c:pt idx="391">
                  <c:v>936.67941041676465</c:v>
                </c:pt>
                <c:pt idx="392">
                  <c:v>939.21867435135528</c:v>
                </c:pt>
                <c:pt idx="393">
                  <c:v>941.75218362810699</c:v>
                </c:pt>
                <c:pt idx="394">
                  <c:v>944.27996099014331</c:v>
                </c:pt>
                <c:pt idx="395">
                  <c:v>946.80202903300005</c:v>
                </c:pt>
                <c:pt idx="396">
                  <c:v>949.31841020590662</c:v>
                </c:pt>
                <c:pt idx="397">
                  <c:v>951.82912681305288</c:v>
                </c:pt>
                <c:pt idx="398">
                  <c:v>954.33420101484217</c:v>
                </c:pt>
                <c:pt idx="399">
                  <c:v>956.83365482913075</c:v>
                </c:pt>
                <c:pt idx="400">
                  <c:v>959.32751013245434</c:v>
                </c:pt>
                <c:pt idx="401">
                  <c:v>983.95982806633049</c:v>
                </c:pt>
                <c:pt idx="402">
                  <c:v>1008.0461850599833</c:v>
                </c:pt>
                <c:pt idx="403">
                  <c:v>1031.6071871818347</c:v>
                </c:pt>
                <c:pt idx="404">
                  <c:v>1054.6621739207383</c:v>
                </c:pt>
                <c:pt idx="405">
                  <c:v>1077.2293207328221</c:v>
                </c:pt>
                <c:pt idx="406">
                  <c:v>1099.3257313242746</c:v>
                </c:pt>
                <c:pt idx="407">
                  <c:v>1120.9675208855283</c:v>
                </c:pt>
                <c:pt idx="408">
                  <c:v>1142.1698913268979</c:v>
                </c:pt>
                <c:pt idx="409">
                  <c:v>1162.947199425651</c:v>
                </c:pt>
                <c:pt idx="410">
                  <c:v>1183.3130186754493</c:v>
                </c:pt>
                <c:pt idx="411">
                  <c:v>1203.2801955275715</c:v>
                </c:pt>
                <c:pt idx="412">
                  <c:v>1222.8609006264969</c:v>
                </c:pt>
                <c:pt idx="413">
                  <c:v>1242.0666755678985</c:v>
                </c:pt>
                <c:pt idx="414">
                  <c:v>1260.9084756429668</c:v>
                </c:pt>
                <c:pt idx="415">
                  <c:v>1279.3967089776197</c:v>
                </c:pt>
                <c:pt idx="416">
                  <c:v>1297.5412724272512</c:v>
                </c:pt>
                <c:pt idx="417">
                  <c:v>1315.351584546094</c:v>
                </c:pt>
                <c:pt idx="418">
                  <c:v>1332.8366159141028</c:v>
                </c:pt>
                <c:pt idx="419">
                  <c:v>1350.0049170727225</c:v>
                </c:pt>
                <c:pt idx="420">
                  <c:v>1366.8646442933325</c:v>
                </c:pt>
                <c:pt idx="421">
                  <c:v>1383.4235833779983</c:v>
                </c:pt>
                <c:pt idx="422">
                  <c:v>1399.6891716709438</c:v>
                </c:pt>
                <c:pt idx="423">
                  <c:v>1415.6685184404942</c:v>
                </c:pt>
                <c:pt idx="424">
                  <c:v>1431.3684237747725</c:v>
                </c:pt>
                <c:pt idx="425">
                  <c:v>1446.7953961198873</c:v>
                </c:pt>
                <c:pt idx="426">
                  <c:v>1461.9556685764751</c:v>
                </c:pt>
                <c:pt idx="427">
                  <c:v>1476.855214059035</c:v>
                </c:pt>
                <c:pt idx="428">
                  <c:v>1491.4997594123483</c:v>
                </c:pt>
                <c:pt idx="429">
                  <c:v>1505.8947985702378</c:v>
                </c:pt>
                <c:pt idx="430">
                  <c:v>1520.0456048338697</c:v>
                </c:pt>
                <c:pt idx="431">
                  <c:v>1533.9572423396069</c:v>
                </c:pt>
                <c:pt idx="432">
                  <c:v>1547.6345767799812</c:v>
                </c:pt>
                <c:pt idx="433">
                  <c:v>1561.0822854355936</c:v>
                </c:pt>
                <c:pt idx="434">
                  <c:v>1574.3048665705676</c:v>
                </c:pt>
                <c:pt idx="435">
                  <c:v>1587.3066482395388</c:v>
                </c:pt>
                <c:pt idx="436">
                  <c:v>1600.0917965499723</c:v>
                </c:pt>
                <c:pt idx="437">
                  <c:v>1612.6643234198289</c:v>
                </c:pt>
                <c:pt idx="438">
                  <c:v>1625.0280938672004</c:v>
                </c:pt>
                <c:pt idx="439">
                  <c:v>1637.1868328654512</c:v>
                </c:pt>
                <c:pt idx="440">
                  <c:v>1649.1441317946246</c:v>
                </c:pt>
                <c:pt idx="441">
                  <c:v>1660.9034545173502</c:v>
                </c:pt>
                <c:pt idx="442">
                  <c:v>1672.4681431051963</c:v>
                </c:pt>
                <c:pt idx="443">
                  <c:v>1683.8414232393395</c:v>
                </c:pt>
                <c:pt idx="444">
                  <c:v>1695.0264093075298</c:v>
                </c:pt>
                <c:pt idx="445">
                  <c:v>1706.0261092176106</c:v>
                </c:pt>
                <c:pt idx="446">
                  <c:v>1716.8434289462873</c:v>
                </c:pt>
                <c:pt idx="447">
                  <c:v>1727.481176840407</c:v>
                </c:pt>
                <c:pt idx="448">
                  <c:v>1737.9420676867044</c:v>
                </c:pt>
                <c:pt idx="449">
                  <c:v>1748.2287265647778</c:v>
                </c:pt>
                <c:pt idx="450">
                  <c:v>1758.3436924969649</c:v>
                </c:pt>
                <c:pt idx="451">
                  <c:v>1768.289421907785</c:v>
                </c:pt>
                <c:pt idx="452">
                  <c:v>1778.0682919047022</c:v>
                </c:pt>
                <c:pt idx="453">
                  <c:v>1787.6826033911148</c:v>
                </c:pt>
                <c:pt idx="454">
                  <c:v>1797.1345840217057</c:v>
                </c:pt>
                <c:pt idx="455">
                  <c:v>1806.4263910095788</c:v>
                </c:pt>
                <c:pt idx="456">
                  <c:v>1815.560113793945</c:v>
                </c:pt>
                <c:pt idx="457">
                  <c:v>1824.5377765765263</c:v>
                </c:pt>
                <c:pt idx="458">
                  <c:v>1833.3613407342839</c:v>
                </c:pt>
                <c:pt idx="459">
                  <c:v>1842.0327071155643</c:v>
                </c:pt>
                <c:pt idx="460">
                  <c:v>1850.5537182262879</c:v>
                </c:pt>
                <c:pt idx="461">
                  <c:v>1858.9261603123596</c:v>
                </c:pt>
                <c:pt idx="462">
                  <c:v>1867.1517653440819</c:v>
                </c:pt>
                <c:pt idx="463">
                  <c:v>1875.2322129079728</c:v>
                </c:pt>
                <c:pt idx="464">
                  <c:v>1883.1691320110449</c:v>
                </c:pt>
                <c:pt idx="465">
                  <c:v>1890.9641028022809</c:v>
                </c:pt>
                <c:pt idx="466">
                  <c:v>1898.61865821574</c:v>
                </c:pt>
                <c:pt idx="467">
                  <c:v>1906.134285539455</c:v>
                </c:pt>
                <c:pt idx="468">
                  <c:v>1913.5124279140234</c:v>
                </c:pt>
                <c:pt idx="469">
                  <c:v>1920.7544857645526</c:v>
                </c:pt>
                <c:pt idx="470">
                  <c:v>1927.8618181694021</c:v>
                </c:pt>
                <c:pt idx="471">
                  <c:v>1934.8357441689566</c:v>
                </c:pt>
                <c:pt idx="472">
                  <c:v>1941.6775440174697</c:v>
                </c:pt>
                <c:pt idx="473">
                  <c:v>1948.3884603808444</c:v>
                </c:pt>
                <c:pt idx="474">
                  <c:v>1954.9696994830424</c:v>
                </c:pt>
                <c:pt idx="475">
                  <c:v>1961.4224322036653</c:v>
                </c:pt>
                <c:pt idx="476">
                  <c:v>1967.747795129101</c:v>
                </c:pt>
                <c:pt idx="477">
                  <c:v>1973.9468915594985</c:v>
                </c:pt>
                <c:pt idx="478">
                  <c:v>1980.0207924737019</c:v>
                </c:pt>
                <c:pt idx="479">
                  <c:v>1985.9705374541638</c:v>
                </c:pt>
                <c:pt idx="480">
                  <c:v>1991.7971355737438</c:v>
                </c:pt>
                <c:pt idx="481">
                  <c:v>1997.5015662461981</c:v>
                </c:pt>
                <c:pt idx="482">
                  <c:v>2003.0847800420711</c:v>
                </c:pt>
                <c:pt idx="483">
                  <c:v>2008.5476994716109</c:v>
                </c:pt>
                <c:pt idx="484">
                  <c:v>2013.8912197362474</c:v>
                </c:pt>
                <c:pt idx="485">
                  <c:v>2019.116209450098</c:v>
                </c:pt>
                <c:pt idx="486">
                  <c:v>2024.2235113328923</c:v>
                </c:pt>
                <c:pt idx="487">
                  <c:v>2029.2139428756429</c:v>
                </c:pt>
                <c:pt idx="488">
                  <c:v>2034.0882969803306</c:v>
                </c:pt>
                <c:pt idx="489">
                  <c:v>2038.8473425748114</c:v>
                </c:pt>
                <c:pt idx="490">
                  <c:v>2043.4918252041105</c:v>
                </c:pt>
                <c:pt idx="491">
                  <c:v>2048.0224675992131</c:v>
                </c:pt>
                <c:pt idx="492">
                  <c:v>2052.43997022443</c:v>
                </c:pt>
                <c:pt idx="493">
                  <c:v>2056.745011804368</c:v>
                </c:pt>
                <c:pt idx="494">
                  <c:v>2060.9382498315153</c:v>
                </c:pt>
                <c:pt idx="495">
                  <c:v>2065.0203210554164</c:v>
                </c:pt>
                <c:pt idx="496">
                  <c:v>2068.9918419543851</c:v>
                </c:pt>
                <c:pt idx="497">
                  <c:v>2072.8534091907018</c:v>
                </c:pt>
                <c:pt idx="498">
                  <c:v>2076.6056000502076</c:v>
                </c:pt>
                <c:pt idx="499">
                  <c:v>2080.2489728672176</c:v>
                </c:pt>
                <c:pt idx="500">
                  <c:v>2083.7840674356667</c:v>
                </c:pt>
                <c:pt idx="501">
                  <c:v>2087.2114054074027</c:v>
                </c:pt>
                <c:pt idx="502">
                  <c:v>2090.5314906785634</c:v>
                </c:pt>
                <c:pt idx="503">
                  <c:v>2093.7448097649776</c:v>
                </c:pt>
                <c:pt idx="504">
                  <c:v>2096.8518321675706</c:v>
                </c:pt>
                <c:pt idx="505">
                  <c:v>2099.8530107287779</c:v>
                </c:pt>
                <c:pt idx="506">
                  <c:v>2102.7487819810194</c:v>
                </c:pt>
                <c:pt idx="507">
                  <c:v>2105.5395664883395</c:v>
                </c:pt>
                <c:pt idx="508">
                  <c:v>2108.2257691823761</c:v>
                </c:pt>
                <c:pt idx="509">
                  <c:v>2110.807779693906</c:v>
                </c:pt>
                <c:pt idx="510">
                  <c:v>2113.2859726812926</c:v>
                </c:pt>
                <c:pt idx="511">
                  <c:v>2115.6607081572611</c:v>
                </c:pt>
                <c:pt idx="512">
                  <c:v>2117.932331815548</c:v>
                </c:pt>
                <c:pt idx="513">
                  <c:v>2120.1011753590815</c:v>
                </c:pt>
                <c:pt idx="514">
                  <c:v>2122.1675568315004</c:v>
                </c:pt>
                <c:pt idx="515">
                  <c:v>2124.1317809539551</c:v>
                </c:pt>
                <c:pt idx="516">
                  <c:v>2125.9941394693001</c:v>
                </c:pt>
                <c:pt idx="517">
                  <c:v>2127.7549114959402</c:v>
                </c:pt>
                <c:pt idx="518">
                  <c:v>2129.4143638937599</c:v>
                </c:pt>
                <c:pt idx="519">
                  <c:v>2130.9727516447097</c:v>
                </c:pt>
                <c:pt idx="520">
                  <c:v>2132.4303182507697</c:v>
                </c:pt>
                <c:pt idx="521">
                  <c:v>2133.7872961521034</c:v>
                </c:pt>
                <c:pt idx="522">
                  <c:v>2135.0439071682822</c:v>
                </c:pt>
                <c:pt idx="523">
                  <c:v>2136.200362965456</c:v>
                </c:pt>
                <c:pt idx="524">
                  <c:v>2137.2568655522532</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140.01407951607064</c:v>
                </c:pt>
              </c:numCache>
            </c:numRef>
          </c:xVal>
          <c:yVal>
            <c:numRef>
              <c:f>Trajecto!$C$158</c:f>
              <c:numCache>
                <c:formatCode>0</c:formatCode>
                <c:ptCount val="1"/>
                <c:pt idx="0">
                  <c:v>1068.6284327761266</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812.78143546717251</c:v>
                </c:pt>
              </c:numCache>
            </c:numRef>
          </c:xVal>
          <c:yVal>
            <c:numRef>
              <c:f>Trajecto!$C$159</c:f>
              <c:numCache>
                <c:formatCode>0</c:formatCode>
                <c:ptCount val="1"/>
                <c:pt idx="0">
                  <c:v>1071.1815809638558</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{0366D69B-234C-442F-BA50-BAFBA4628BF7}</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581.92578266910311</c:v>
                </c:pt>
                <c:pt idx="1">
                  <c:v>604.92578266910311</c:v>
                </c:pt>
                <c:pt idx="2">
                  <c:v>604.92578266910311</c:v>
                </c:pt>
                <c:pt idx="3">
                  <c:v>581.92578266910311</c:v>
                </c:pt>
                <c:pt idx="4">
                  <c:v>604.92578266910311</c:v>
                </c:pt>
                <c:pt idx="5">
                  <c:v>604.92578266910311</c:v>
                </c:pt>
                <c:pt idx="6">
                  <c:v>589.92578266910311</c:v>
                </c:pt>
                <c:pt idx="7">
                  <c:v>589.92578266910311</c:v>
                </c:pt>
                <c:pt idx="8">
                  <c:v>604.92578266910311</c:v>
                </c:pt>
                <c:pt idx="9">
                  <c:v>589.92578266910311</c:v>
                </c:pt>
                <c:pt idx="10">
                  <c:v>589.52578266910314</c:v>
                </c:pt>
                <c:pt idx="11">
                  <c:v>588.72578266910307</c:v>
                </c:pt>
                <c:pt idx="12">
                  <c:v>587.92578266910311</c:v>
                </c:pt>
                <c:pt idx="13">
                  <c:v>586.92578266910311</c:v>
                </c:pt>
                <c:pt idx="14">
                  <c:v>585.72578266910307</c:v>
                </c:pt>
                <c:pt idx="15">
                  <c:v>581.92578266910311</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581.92578266910311</c:v>
                </c:pt>
                <c:pt idx="1">
                  <c:v>558.92578266910311</c:v>
                </c:pt>
                <c:pt idx="2">
                  <c:v>558.92578266910311</c:v>
                </c:pt>
                <c:pt idx="3">
                  <c:v>581.92578266910311</c:v>
                </c:pt>
                <c:pt idx="4">
                  <c:v>558.92578266910311</c:v>
                </c:pt>
                <c:pt idx="5">
                  <c:v>558.92578266910311</c:v>
                </c:pt>
                <c:pt idx="6">
                  <c:v>573.92578266910311</c:v>
                </c:pt>
                <c:pt idx="7">
                  <c:v>573.92578266910311</c:v>
                </c:pt>
                <c:pt idx="8">
                  <c:v>558.92578266910311</c:v>
                </c:pt>
                <c:pt idx="9">
                  <c:v>573.92578266910311</c:v>
                </c:pt>
                <c:pt idx="10">
                  <c:v>574.32578266910309</c:v>
                </c:pt>
                <c:pt idx="11">
                  <c:v>575.12578266910316</c:v>
                </c:pt>
                <c:pt idx="12">
                  <c:v>575.92578266910311</c:v>
                </c:pt>
                <c:pt idx="13">
                  <c:v>576.92578266910311</c:v>
                </c:pt>
                <c:pt idx="14">
                  <c:v>578.12578266910316</c:v>
                </c:pt>
                <c:pt idx="15">
                  <c:v>581.92578266910311</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{CEC08C04-3915-4BDB-A069-280644BC742A}</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581.92578266910311</c:v>
                </c:pt>
                <c:pt idx="1">
                  <c:v>581.92578266910311</c:v>
                </c:pt>
                <c:pt idx="2">
                  <c:v>591.92578266910311</c:v>
                </c:pt>
                <c:pt idx="3">
                  <c:v>581.92578266910311</c:v>
                </c:pt>
                <c:pt idx="4">
                  <c:v>591.92578266910311</c:v>
                </c:pt>
                <c:pt idx="5">
                  <c:v>594.92578266910311</c:v>
                </c:pt>
                <c:pt idx="6">
                  <c:v>598.92578266910311</c:v>
                </c:pt>
                <c:pt idx="7">
                  <c:v>601.92578266910311</c:v>
                </c:pt>
                <c:pt idx="8">
                  <c:v>606.92578266910311</c:v>
                </c:pt>
                <c:pt idx="9">
                  <c:v>611.92578266910311</c:v>
                </c:pt>
                <c:pt idx="10">
                  <c:v>617.92578266910311</c:v>
                </c:pt>
                <c:pt idx="11">
                  <c:v>629.92578266910311</c:v>
                </c:pt>
                <c:pt idx="12">
                  <c:v>643.92578266910311</c:v>
                </c:pt>
                <c:pt idx="13">
                  <c:v>618.92578266910311</c:v>
                </c:pt>
                <c:pt idx="14">
                  <c:v>611.92578266910311</c:v>
                </c:pt>
                <c:pt idx="15">
                  <c:v>596.92578266910311</c:v>
                </c:pt>
                <c:pt idx="16">
                  <c:v>581.92578266910311</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581.92578266910311</c:v>
                </c:pt>
                <c:pt idx="1">
                  <c:v>581.92578266910311</c:v>
                </c:pt>
                <c:pt idx="2">
                  <c:v>571.92578266910311</c:v>
                </c:pt>
                <c:pt idx="3">
                  <c:v>581.92578266910311</c:v>
                </c:pt>
                <c:pt idx="4">
                  <c:v>571.92578266910311</c:v>
                </c:pt>
                <c:pt idx="5">
                  <c:v>568.92578266910311</c:v>
                </c:pt>
                <c:pt idx="6">
                  <c:v>564.92578266910311</c:v>
                </c:pt>
                <c:pt idx="7">
                  <c:v>561.92578266910311</c:v>
                </c:pt>
                <c:pt idx="8">
                  <c:v>556.92578266910311</c:v>
                </c:pt>
                <c:pt idx="9">
                  <c:v>551.92578266910311</c:v>
                </c:pt>
                <c:pt idx="10">
                  <c:v>545.92578266910311</c:v>
                </c:pt>
                <c:pt idx="11">
                  <c:v>533.92578266910311</c:v>
                </c:pt>
                <c:pt idx="12">
                  <c:v>519.92578266910311</c:v>
                </c:pt>
                <c:pt idx="13">
                  <c:v>544.92578266910311</c:v>
                </c:pt>
                <c:pt idx="14">
                  <c:v>551.92578266910311</c:v>
                </c:pt>
                <c:pt idx="15">
                  <c:v>566.92578266910311</c:v>
                </c:pt>
                <c:pt idx="16">
                  <c:v>581.92578266910311</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581.92578266910311</c:v>
                </c:pt>
                <c:pt idx="1">
                  <c:v>598.92578266910311</c:v>
                </c:pt>
                <c:pt idx="2">
                  <c:v>592.92578266910311</c:v>
                </c:pt>
                <c:pt idx="3">
                  <c:v>581.92578266910311</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581.92578266910311</c:v>
                </c:pt>
                <c:pt idx="1">
                  <c:v>564.92578266910311</c:v>
                </c:pt>
                <c:pt idx="2">
                  <c:v>570.92578266910311</c:v>
                </c:pt>
                <c:pt idx="3">
                  <c:v>581.92578266910311</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{5AE34BA4-B9CF-44D7-BBC9-44ED37A67AE7}</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560.05631806428255</c:v>
                </c:pt>
                <c:pt idx="1">
                  <c:v>560.05631806428255</c:v>
                </c:pt>
                <c:pt idx="2">
                  <c:v>560.05631806428255</c:v>
                </c:pt>
                <c:pt idx="3">
                  <c:v>613.48773970308889</c:v>
                </c:pt>
                <c:pt idx="4">
                  <c:v>560.05631806428255</c:v>
                </c:pt>
                <c:pt idx="5">
                  <c:v>506.62489642547621</c:v>
                </c:pt>
                <c:pt idx="6">
                  <c:v>560.05631806428255</c:v>
                </c:pt>
              </c:numCache>
            </c:numRef>
          </c:xVal>
          <c:yVal>
            <c:numRef>
              <c:f>Trajecto!$C$124:$C$130</c:f>
              <c:numCache>
                <c:formatCode>0</c:formatCode>
                <c:ptCount val="7"/>
                <c:pt idx="0">
                  <c:v>2137.2568655522532</c:v>
                </c:pt>
                <c:pt idx="1">
                  <c:v>1068.6284327761266</c:v>
                </c:pt>
                <c:pt idx="2">
                  <c:v>0</c:v>
                </c:pt>
                <c:pt idx="3">
                  <c:v>106.86284327761265</c:v>
                </c:pt>
                <c:pt idx="4">
                  <c:v>0</c:v>
                </c:pt>
                <c:pt idx="5">
                  <c:v>106.86284327761265</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2142.3631619277116</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1.0000000000000007</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2.0000000000000013</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2.99999999999998</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3.9999999999999587</c:v>
                </c:pt>
                <c:pt idx="401">
                  <c:v>#N/A</c:v>
                </c:pt>
                <c:pt idx="402">
                  <c:v>#N/A</c:v>
                </c:pt>
                <c:pt idx="403">
                  <c:v>#N/A</c:v>
                </c:pt>
                <c:pt idx="404">
                  <c:v>#N/A</c:v>
                </c:pt>
                <c:pt idx="405">
                  <c:v>#N/A</c:v>
                </c:pt>
                <c:pt idx="406">
                  <c:v>#N/A</c:v>
                </c:pt>
                <c:pt idx="407">
                  <c:v>#N/A</c:v>
                </c:pt>
                <c:pt idx="408">
                  <c:v>#N/A</c:v>
                </c:pt>
                <c:pt idx="409">
                  <c:v>#N/A</c:v>
                </c:pt>
                <c:pt idx="410">
                  <c:v>4.9999999999999556</c:v>
                </c:pt>
                <c:pt idx="411">
                  <c:v>#N/A</c:v>
                </c:pt>
                <c:pt idx="412">
                  <c:v>#N/A</c:v>
                </c:pt>
                <c:pt idx="413">
                  <c:v>#N/A</c:v>
                </c:pt>
                <c:pt idx="414">
                  <c:v>#N/A</c:v>
                </c:pt>
                <c:pt idx="415">
                  <c:v>#N/A</c:v>
                </c:pt>
                <c:pt idx="416">
                  <c:v>#N/A</c:v>
                </c:pt>
                <c:pt idx="417">
                  <c:v>#N/A</c:v>
                </c:pt>
                <c:pt idx="418">
                  <c:v>#N/A</c:v>
                </c:pt>
                <c:pt idx="419">
                  <c:v>#N/A</c:v>
                </c:pt>
                <c:pt idx="420">
                  <c:v>5.999999999999952</c:v>
                </c:pt>
                <c:pt idx="421">
                  <c:v>#N/A</c:v>
                </c:pt>
                <c:pt idx="422">
                  <c:v>#N/A</c:v>
                </c:pt>
                <c:pt idx="423">
                  <c:v>#N/A</c:v>
                </c:pt>
                <c:pt idx="424">
                  <c:v>#N/A</c:v>
                </c:pt>
                <c:pt idx="425">
                  <c:v>#N/A</c:v>
                </c:pt>
                <c:pt idx="426">
                  <c:v>#N/A</c:v>
                </c:pt>
                <c:pt idx="427">
                  <c:v>#N/A</c:v>
                </c:pt>
                <c:pt idx="428">
                  <c:v>#N/A</c:v>
                </c:pt>
                <c:pt idx="429">
                  <c:v>#N/A</c:v>
                </c:pt>
                <c:pt idx="430">
                  <c:v>6.9999999999999485</c:v>
                </c:pt>
                <c:pt idx="431">
                  <c:v>#N/A</c:v>
                </c:pt>
                <c:pt idx="432">
                  <c:v>#N/A</c:v>
                </c:pt>
                <c:pt idx="433">
                  <c:v>#N/A</c:v>
                </c:pt>
                <c:pt idx="434">
                  <c:v>#N/A</c:v>
                </c:pt>
                <c:pt idx="435">
                  <c:v>#N/A</c:v>
                </c:pt>
                <c:pt idx="436">
                  <c:v>#N/A</c:v>
                </c:pt>
                <c:pt idx="437">
                  <c:v>#N/A</c:v>
                </c:pt>
                <c:pt idx="438">
                  <c:v>#N/A</c:v>
                </c:pt>
                <c:pt idx="439">
                  <c:v>#N/A</c:v>
                </c:pt>
                <c:pt idx="440">
                  <c:v>7.9999999999999449</c:v>
                </c:pt>
                <c:pt idx="441">
                  <c:v>#N/A</c:v>
                </c:pt>
                <c:pt idx="442">
                  <c:v>#N/A</c:v>
                </c:pt>
                <c:pt idx="443">
                  <c:v>#N/A</c:v>
                </c:pt>
                <c:pt idx="444">
                  <c:v>#N/A</c:v>
                </c:pt>
                <c:pt idx="445">
                  <c:v>#N/A</c:v>
                </c:pt>
                <c:pt idx="446">
                  <c:v>#N/A</c:v>
                </c:pt>
                <c:pt idx="447">
                  <c:v>#N/A</c:v>
                </c:pt>
                <c:pt idx="448">
                  <c:v>#N/A</c:v>
                </c:pt>
                <c:pt idx="449">
                  <c:v>#N/A</c:v>
                </c:pt>
                <c:pt idx="450">
                  <c:v>8.9999999999999414</c:v>
                </c:pt>
                <c:pt idx="451">
                  <c:v>#N/A</c:v>
                </c:pt>
                <c:pt idx="452">
                  <c:v>#N/A</c:v>
                </c:pt>
                <c:pt idx="453">
                  <c:v>#N/A</c:v>
                </c:pt>
                <c:pt idx="454">
                  <c:v>#N/A</c:v>
                </c:pt>
                <c:pt idx="455">
                  <c:v>#N/A</c:v>
                </c:pt>
                <c:pt idx="456">
                  <c:v>#N/A</c:v>
                </c:pt>
                <c:pt idx="457">
                  <c:v>#N/A</c:v>
                </c:pt>
                <c:pt idx="458">
                  <c:v>#N/A</c:v>
                </c:pt>
                <c:pt idx="459">
                  <c:v>#N/A</c:v>
                </c:pt>
                <c:pt idx="460">
                  <c:v>9.9999999999999378</c:v>
                </c:pt>
                <c:pt idx="461">
                  <c:v>#N/A</c:v>
                </c:pt>
                <c:pt idx="462">
                  <c:v>#N/A</c:v>
                </c:pt>
                <c:pt idx="463">
                  <c:v>#N/A</c:v>
                </c:pt>
                <c:pt idx="464">
                  <c:v>#N/A</c:v>
                </c:pt>
                <c:pt idx="465">
                  <c:v>#N/A</c:v>
                </c:pt>
                <c:pt idx="466">
                  <c:v>#N/A</c:v>
                </c:pt>
                <c:pt idx="467">
                  <c:v>#N/A</c:v>
                </c:pt>
                <c:pt idx="468">
                  <c:v>#N/A</c:v>
                </c:pt>
                <c:pt idx="469">
                  <c:v>#N/A</c:v>
                </c:pt>
                <c:pt idx="470">
                  <c:v>10.999999999999934</c:v>
                </c:pt>
                <c:pt idx="471">
                  <c:v>#N/A</c:v>
                </c:pt>
                <c:pt idx="472">
                  <c:v>#N/A</c:v>
                </c:pt>
                <c:pt idx="473">
                  <c:v>#N/A</c:v>
                </c:pt>
                <c:pt idx="474">
                  <c:v>#N/A</c:v>
                </c:pt>
                <c:pt idx="475">
                  <c:v>#N/A</c:v>
                </c:pt>
                <c:pt idx="476">
                  <c:v>#N/A</c:v>
                </c:pt>
                <c:pt idx="477">
                  <c:v>#N/A</c:v>
                </c:pt>
                <c:pt idx="478">
                  <c:v>#N/A</c:v>
                </c:pt>
                <c:pt idx="479">
                  <c:v>#N/A</c:v>
                </c:pt>
                <c:pt idx="480">
                  <c:v>11.999999999999931</c:v>
                </c:pt>
                <c:pt idx="481">
                  <c:v>#N/A</c:v>
                </c:pt>
                <c:pt idx="482">
                  <c:v>#N/A</c:v>
                </c:pt>
                <c:pt idx="483">
                  <c:v>#N/A</c:v>
                </c:pt>
                <c:pt idx="484">
                  <c:v>#N/A</c:v>
                </c:pt>
                <c:pt idx="485">
                  <c:v>#N/A</c:v>
                </c:pt>
                <c:pt idx="486">
                  <c:v>#N/A</c:v>
                </c:pt>
                <c:pt idx="487">
                  <c:v>#N/A</c:v>
                </c:pt>
                <c:pt idx="488">
                  <c:v>#N/A</c:v>
                </c:pt>
                <c:pt idx="489">
                  <c:v>#N/A</c:v>
                </c:pt>
                <c:pt idx="490">
                  <c:v>12.999999999999927</c:v>
                </c:pt>
                <c:pt idx="491">
                  <c:v>#N/A</c:v>
                </c:pt>
                <c:pt idx="492">
                  <c:v>#N/A</c:v>
                </c:pt>
                <c:pt idx="493">
                  <c:v>#N/A</c:v>
                </c:pt>
                <c:pt idx="494">
                  <c:v>#N/A</c:v>
                </c:pt>
                <c:pt idx="495">
                  <c:v>#N/A</c:v>
                </c:pt>
                <c:pt idx="496">
                  <c:v>#N/A</c:v>
                </c:pt>
                <c:pt idx="497">
                  <c:v>#N/A</c:v>
                </c:pt>
                <c:pt idx="498">
                  <c:v>#N/A</c:v>
                </c:pt>
                <c:pt idx="499">
                  <c:v>#N/A</c:v>
                </c:pt>
                <c:pt idx="500">
                  <c:v>13.999999999999924</c:v>
                </c:pt>
                <c:pt idx="501">
                  <c:v>#N/A</c:v>
                </c:pt>
                <c:pt idx="502">
                  <c:v>#N/A</c:v>
                </c:pt>
                <c:pt idx="503">
                  <c:v>#N/A</c:v>
                </c:pt>
                <c:pt idx="504">
                  <c:v>#N/A</c:v>
                </c:pt>
                <c:pt idx="505">
                  <c:v>#N/A</c:v>
                </c:pt>
                <c:pt idx="506">
                  <c:v>#N/A</c:v>
                </c:pt>
                <c:pt idx="507">
                  <c:v>#N/A</c:v>
                </c:pt>
                <c:pt idx="508">
                  <c:v>#N/A</c:v>
                </c:pt>
                <c:pt idx="509">
                  <c:v>#N/A</c:v>
                </c:pt>
                <c:pt idx="510">
                  <c:v>14.99999999999992</c:v>
                </c:pt>
                <c:pt idx="511">
                  <c:v>#N/A</c:v>
                </c:pt>
                <c:pt idx="512">
                  <c:v>#N/A</c:v>
                </c:pt>
                <c:pt idx="513">
                  <c:v>#N/A</c:v>
                </c:pt>
                <c:pt idx="514">
                  <c:v>#N/A</c:v>
                </c:pt>
                <c:pt idx="515">
                  <c:v>#N/A</c:v>
                </c:pt>
                <c:pt idx="516">
                  <c:v>#N/A</c:v>
                </c:pt>
                <c:pt idx="517">
                  <c:v>#N/A</c:v>
                </c:pt>
                <c:pt idx="518">
                  <c:v>#N/A</c:v>
                </c:pt>
                <c:pt idx="519">
                  <c:v>#N/A</c:v>
                </c:pt>
                <c:pt idx="520">
                  <c:v>15.999999999999917</c:v>
                </c:pt>
                <c:pt idx="521">
                  <c:v>#N/A</c:v>
                </c:pt>
                <c:pt idx="522">
                  <c:v>#N/A</c:v>
                </c:pt>
                <c:pt idx="523">
                  <c:v>#N/A</c:v>
                </c:pt>
                <c:pt idx="524">
                  <c:v>#N/A</c:v>
                </c:pt>
                <c:pt idx="525">
                  <c:v>#N/A</c:v>
                </c:pt>
                <c:pt idx="526">
                  <c:v>#N/A</c:v>
                </c:pt>
                <c:pt idx="527">
                  <c:v>#N/A</c:v>
                </c:pt>
                <c:pt idx="528">
                  <c:v>#N/A</c:v>
                </c:pt>
                <c:pt idx="529">
                  <c:v>#N/A</c:v>
                </c:pt>
                <c:pt idx="530">
                  <c:v>16.999999999999929</c:v>
                </c:pt>
                <c:pt idx="531">
                  <c:v>#N/A</c:v>
                </c:pt>
                <c:pt idx="532">
                  <c:v>#N/A</c:v>
                </c:pt>
                <c:pt idx="533">
                  <c:v>#N/A</c:v>
                </c:pt>
                <c:pt idx="534">
                  <c:v>#N/A</c:v>
                </c:pt>
                <c:pt idx="535">
                  <c:v>#N/A</c:v>
                </c:pt>
                <c:pt idx="536">
                  <c:v>#N/A</c:v>
                </c:pt>
                <c:pt idx="537">
                  <c:v>#N/A</c:v>
                </c:pt>
                <c:pt idx="538">
                  <c:v>#N/A</c:v>
                </c:pt>
                <c:pt idx="539">
                  <c:v>#N/A</c:v>
                </c:pt>
                <c:pt idx="540">
                  <c:v>17.999999999999943</c:v>
                </c:pt>
                <c:pt idx="541">
                  <c:v>#N/A</c:v>
                </c:pt>
                <c:pt idx="542">
                  <c:v>#N/A</c:v>
                </c:pt>
                <c:pt idx="543">
                  <c:v>#N/A</c:v>
                </c:pt>
                <c:pt idx="544">
                  <c:v>#N/A</c:v>
                </c:pt>
                <c:pt idx="545">
                  <c:v>#N/A</c:v>
                </c:pt>
                <c:pt idx="546">
                  <c:v>#N/A</c:v>
                </c:pt>
                <c:pt idx="547">
                  <c:v>#N/A</c:v>
                </c:pt>
                <c:pt idx="548">
                  <c:v>#N/A</c:v>
                </c:pt>
                <c:pt idx="549">
                  <c:v>#N/A</c:v>
                </c:pt>
                <c:pt idx="550">
                  <c:v>18.999999999999957</c:v>
                </c:pt>
                <c:pt idx="551">
                  <c:v>#N/A</c:v>
                </c:pt>
                <c:pt idx="552">
                  <c:v>#N/A</c:v>
                </c:pt>
                <c:pt idx="553">
                  <c:v>#N/A</c:v>
                </c:pt>
                <c:pt idx="554">
                  <c:v>#N/A</c:v>
                </c:pt>
                <c:pt idx="555">
                  <c:v>#N/A</c:v>
                </c:pt>
                <c:pt idx="556">
                  <c:v>#N/A</c:v>
                </c:pt>
                <c:pt idx="557">
                  <c:v>#N/A</c:v>
                </c:pt>
                <c:pt idx="558">
                  <c:v>#N/A</c:v>
                </c:pt>
                <c:pt idx="559">
                  <c:v>#N/A</c:v>
                </c:pt>
                <c:pt idx="560">
                  <c:v>19.999999999999972</c:v>
                </c:pt>
                <c:pt idx="561">
                  <c:v>#N/A</c:v>
                </c:pt>
                <c:pt idx="562">
                  <c:v>#N/A</c:v>
                </c:pt>
                <c:pt idx="563">
                  <c:v>#N/A</c:v>
                </c:pt>
                <c:pt idx="564">
                  <c:v>#N/A</c:v>
                </c:pt>
                <c:pt idx="565">
                  <c:v>#N/A</c:v>
                </c:pt>
                <c:pt idx="566">
                  <c:v>#N/A</c:v>
                </c:pt>
                <c:pt idx="567">
                  <c:v>#N/A</c:v>
                </c:pt>
                <c:pt idx="568">
                  <c:v>#N/A</c:v>
                </c:pt>
                <c:pt idx="569">
                  <c:v>#N/A</c:v>
                </c:pt>
                <c:pt idx="570">
                  <c:v>20.999999999999986</c:v>
                </c:pt>
                <c:pt idx="571">
                  <c:v>#N/A</c:v>
                </c:pt>
                <c:pt idx="572">
                  <c:v>#N/A</c:v>
                </c:pt>
                <c:pt idx="573">
                  <c:v>#N/A</c:v>
                </c:pt>
                <c:pt idx="574">
                  <c:v>#N/A</c:v>
                </c:pt>
                <c:pt idx="575">
                  <c:v>#N/A</c:v>
                </c:pt>
                <c:pt idx="576">
                  <c:v>#N/A</c:v>
                </c:pt>
                <c:pt idx="577">
                  <c:v>#N/A</c:v>
                </c:pt>
                <c:pt idx="578">
                  <c:v>#N/A</c:v>
                </c:pt>
                <c:pt idx="579">
                  <c:v>#N/A</c:v>
                </c:pt>
                <c:pt idx="580">
                  <c:v>22</c:v>
                </c:pt>
                <c:pt idx="581">
                  <c:v>#N/A</c:v>
                </c:pt>
                <c:pt idx="582">
                  <c:v>#N/A</c:v>
                </c:pt>
                <c:pt idx="583">
                  <c:v>#N/A</c:v>
                </c:pt>
                <c:pt idx="584">
                  <c:v>#N/A</c:v>
                </c:pt>
                <c:pt idx="585">
                  <c:v>#N/A</c:v>
                </c:pt>
                <c:pt idx="586">
                  <c:v>#N/A</c:v>
                </c:pt>
                <c:pt idx="587">
                  <c:v>#N/A</c:v>
                </c:pt>
                <c:pt idx="588">
                  <c:v>#N/A</c:v>
                </c:pt>
                <c:pt idx="589">
                  <c:v>#N/A</c:v>
                </c:pt>
                <c:pt idx="590">
                  <c:v>23.000000000000014</c:v>
                </c:pt>
                <c:pt idx="591">
                  <c:v>#N/A</c:v>
                </c:pt>
                <c:pt idx="592">
                  <c:v>#N/A</c:v>
                </c:pt>
                <c:pt idx="593">
                  <c:v>#N/A</c:v>
                </c:pt>
                <c:pt idx="594">
                  <c:v>#N/A</c:v>
                </c:pt>
                <c:pt idx="595">
                  <c:v>#N/A</c:v>
                </c:pt>
                <c:pt idx="596">
                  <c:v>#N/A</c:v>
                </c:pt>
                <c:pt idx="597">
                  <c:v>#N/A</c:v>
                </c:pt>
                <c:pt idx="598">
                  <c:v>#N/A</c:v>
                </c:pt>
                <c:pt idx="599">
                  <c:v>#N/A</c:v>
                </c:pt>
                <c:pt idx="600">
                  <c:v>24.000000000000028</c:v>
                </c:pt>
                <c:pt idx="601">
                  <c:v>#N/A</c:v>
                </c:pt>
                <c:pt idx="602">
                  <c:v>#N/A</c:v>
                </c:pt>
                <c:pt idx="603">
                  <c:v>#N/A</c:v>
                </c:pt>
                <c:pt idx="604">
                  <c:v>#N/A</c:v>
                </c:pt>
                <c:pt idx="605">
                  <c:v>#N/A</c:v>
                </c:pt>
                <c:pt idx="606">
                  <c:v>#N/A</c:v>
                </c:pt>
                <c:pt idx="607">
                  <c:v>#N/A</c:v>
                </c:pt>
                <c:pt idx="608">
                  <c:v>#N/A</c:v>
                </c:pt>
                <c:pt idx="609">
                  <c:v>#N/A</c:v>
                </c:pt>
                <c:pt idx="610">
                  <c:v>25.000000000000043</c:v>
                </c:pt>
                <c:pt idx="611">
                  <c:v>#N/A</c:v>
                </c:pt>
                <c:pt idx="612">
                  <c:v>#N/A</c:v>
                </c:pt>
                <c:pt idx="613">
                  <c:v>#N/A</c:v>
                </c:pt>
                <c:pt idx="614">
                  <c:v>#N/A</c:v>
                </c:pt>
                <c:pt idx="615">
                  <c:v>#N/A</c:v>
                </c:pt>
                <c:pt idx="616">
                  <c:v>#N/A</c:v>
                </c:pt>
                <c:pt idx="617">
                  <c:v>#N/A</c:v>
                </c:pt>
                <c:pt idx="618">
                  <c:v>#N/A</c:v>
                </c:pt>
                <c:pt idx="619">
                  <c:v>#N/A</c:v>
                </c:pt>
                <c:pt idx="620">
                  <c:v>26.000000000000057</c:v>
                </c:pt>
                <c:pt idx="621">
                  <c:v>#N/A</c:v>
                </c:pt>
                <c:pt idx="622">
                  <c:v>#N/A</c:v>
                </c:pt>
                <c:pt idx="623">
                  <c:v>#N/A</c:v>
                </c:pt>
                <c:pt idx="624">
                  <c:v>#N/A</c:v>
                </c:pt>
                <c:pt idx="625">
                  <c:v>#N/A</c:v>
                </c:pt>
                <c:pt idx="626">
                  <c:v>#N/A</c:v>
                </c:pt>
                <c:pt idx="627">
                  <c:v>#N/A</c:v>
                </c:pt>
                <c:pt idx="628">
                  <c:v>#N/A</c:v>
                </c:pt>
                <c:pt idx="629">
                  <c:v>#N/A</c:v>
                </c:pt>
                <c:pt idx="630">
                  <c:v>27.000000000000071</c:v>
                </c:pt>
                <c:pt idx="631">
                  <c:v>#N/A</c:v>
                </c:pt>
                <c:pt idx="632">
                  <c:v>#N/A</c:v>
                </c:pt>
                <c:pt idx="633">
                  <c:v>#N/A</c:v>
                </c:pt>
                <c:pt idx="634">
                  <c:v>#N/A</c:v>
                </c:pt>
                <c:pt idx="635">
                  <c:v>#N/A</c:v>
                </c:pt>
                <c:pt idx="636">
                  <c:v>#N/A</c:v>
                </c:pt>
                <c:pt idx="637">
                  <c:v>#N/A</c:v>
                </c:pt>
                <c:pt idx="638">
                  <c:v>#N/A</c:v>
                </c:pt>
                <c:pt idx="639">
                  <c:v>#N/A</c:v>
                </c:pt>
                <c:pt idx="640">
                  <c:v>28.000000000000085</c:v>
                </c:pt>
                <c:pt idx="641">
                  <c:v>#N/A</c:v>
                </c:pt>
                <c:pt idx="642">
                  <c:v>#N/A</c:v>
                </c:pt>
                <c:pt idx="643">
                  <c:v>#N/A</c:v>
                </c:pt>
                <c:pt idx="644">
                  <c:v>#N/A</c:v>
                </c:pt>
                <c:pt idx="645">
                  <c:v>#N/A</c:v>
                </c:pt>
                <c:pt idx="646">
                  <c:v>#N/A</c:v>
                </c:pt>
                <c:pt idx="647">
                  <c:v>#N/A</c:v>
                </c:pt>
                <c:pt idx="648">
                  <c:v>#N/A</c:v>
                </c:pt>
                <c:pt idx="649">
                  <c:v>#N/A</c:v>
                </c:pt>
                <c:pt idx="650">
                  <c:v>29.000000000000099</c:v>
                </c:pt>
                <c:pt idx="651">
                  <c:v>#N/A</c:v>
                </c:pt>
                <c:pt idx="652">
                  <c:v>#N/A</c:v>
                </c:pt>
                <c:pt idx="653">
                  <c:v>#N/A</c:v>
                </c:pt>
                <c:pt idx="654">
                  <c:v>#N/A</c:v>
                </c:pt>
                <c:pt idx="655">
                  <c:v>#N/A</c:v>
                </c:pt>
                <c:pt idx="656">
                  <c:v>#N/A</c:v>
                </c:pt>
                <c:pt idx="657">
                  <c:v>#N/A</c:v>
                </c:pt>
                <c:pt idx="658">
                  <c:v>#N/A</c:v>
                </c:pt>
                <c:pt idx="659">
                  <c:v>#N/A</c:v>
                </c:pt>
                <c:pt idx="660">
                  <c:v>30.000000000000114</c:v>
                </c:pt>
                <c:pt idx="661">
                  <c:v>#N/A</c:v>
                </c:pt>
                <c:pt idx="662">
                  <c:v>#N/A</c:v>
                </c:pt>
                <c:pt idx="663">
                  <c:v>#N/A</c:v>
                </c:pt>
                <c:pt idx="664">
                  <c:v>#N/A</c:v>
                </c:pt>
                <c:pt idx="665">
                  <c:v>#N/A</c:v>
                </c:pt>
                <c:pt idx="666">
                  <c:v>#N/A</c:v>
                </c:pt>
                <c:pt idx="667">
                  <c:v>#N/A</c:v>
                </c:pt>
                <c:pt idx="668">
                  <c:v>#N/A</c:v>
                </c:pt>
                <c:pt idx="669">
                  <c:v>#N/A</c:v>
                </c:pt>
                <c:pt idx="670">
                  <c:v>31.000000000000128</c:v>
                </c:pt>
                <c:pt idx="671">
                  <c:v>#N/A</c:v>
                </c:pt>
                <c:pt idx="672">
                  <c:v>#N/A</c:v>
                </c:pt>
                <c:pt idx="673">
                  <c:v>#N/A</c:v>
                </c:pt>
                <c:pt idx="674">
                  <c:v>#N/A</c:v>
                </c:pt>
                <c:pt idx="675">
                  <c:v>#N/A</c:v>
                </c:pt>
                <c:pt idx="676">
                  <c:v>#N/A</c:v>
                </c:pt>
                <c:pt idx="677">
                  <c:v>#N/A</c:v>
                </c:pt>
                <c:pt idx="678">
                  <c:v>#N/A</c:v>
                </c:pt>
                <c:pt idx="679">
                  <c:v>#N/A</c:v>
                </c:pt>
                <c:pt idx="680">
                  <c:v>32.000000000000142</c:v>
                </c:pt>
                <c:pt idx="681">
                  <c:v>#N/A</c:v>
                </c:pt>
                <c:pt idx="682">
                  <c:v>#N/A</c:v>
                </c:pt>
                <c:pt idx="683">
                  <c:v>#N/A</c:v>
                </c:pt>
                <c:pt idx="684">
                  <c:v>#N/A</c:v>
                </c:pt>
                <c:pt idx="685">
                  <c:v>#N/A</c:v>
                </c:pt>
                <c:pt idx="686">
                  <c:v>#N/A</c:v>
                </c:pt>
                <c:pt idx="687">
                  <c:v>#N/A</c:v>
                </c:pt>
                <c:pt idx="688">
                  <c:v>#N/A</c:v>
                </c:pt>
                <c:pt idx="689">
                  <c:v>#N/A</c:v>
                </c:pt>
                <c:pt idx="690">
                  <c:v>33.000000000000156</c:v>
                </c:pt>
                <c:pt idx="691">
                  <c:v>#N/A</c:v>
                </c:pt>
                <c:pt idx="692">
                  <c:v>#N/A</c:v>
                </c:pt>
                <c:pt idx="693">
                  <c:v>#N/A</c:v>
                </c:pt>
                <c:pt idx="694">
                  <c:v>#N/A</c:v>
                </c:pt>
                <c:pt idx="695">
                  <c:v>#N/A</c:v>
                </c:pt>
                <c:pt idx="696">
                  <c:v>#N/A</c:v>
                </c:pt>
                <c:pt idx="697">
                  <c:v>#N/A</c:v>
                </c:pt>
                <c:pt idx="698">
                  <c:v>#N/A</c:v>
                </c:pt>
                <c:pt idx="699">
                  <c:v>#N/A</c:v>
                </c:pt>
                <c:pt idx="700">
                  <c:v>34.000000000000171</c:v>
                </c:pt>
                <c:pt idx="701">
                  <c:v>#N/A</c:v>
                </c:pt>
                <c:pt idx="702">
                  <c:v>#N/A</c:v>
                </c:pt>
                <c:pt idx="703">
                  <c:v>#N/A</c:v>
                </c:pt>
                <c:pt idx="704">
                  <c:v>#N/A</c:v>
                </c:pt>
                <c:pt idx="705">
                  <c:v>#N/A</c:v>
                </c:pt>
                <c:pt idx="706">
                  <c:v>#N/A</c:v>
                </c:pt>
                <c:pt idx="707">
                  <c:v>#N/A</c:v>
                </c:pt>
                <c:pt idx="708">
                  <c:v>#N/A</c:v>
                </c:pt>
                <c:pt idx="709">
                  <c:v>#N/A</c:v>
                </c:pt>
                <c:pt idx="710">
                  <c:v>35.000000000000185</c:v>
                </c:pt>
                <c:pt idx="711">
                  <c:v>#N/A</c:v>
                </c:pt>
                <c:pt idx="712">
                  <c:v>#N/A</c:v>
                </c:pt>
                <c:pt idx="713">
                  <c:v>#N/A</c:v>
                </c:pt>
                <c:pt idx="714">
                  <c:v>#N/A</c:v>
                </c:pt>
                <c:pt idx="715">
                  <c:v>#N/A</c:v>
                </c:pt>
                <c:pt idx="716">
                  <c:v>#N/A</c:v>
                </c:pt>
                <c:pt idx="717">
                  <c:v>#N/A</c:v>
                </c:pt>
                <c:pt idx="718">
                  <c:v>#N/A</c:v>
                </c:pt>
                <c:pt idx="719">
                  <c:v>#N/A</c:v>
                </c:pt>
                <c:pt idx="720">
                  <c:v>36.000000000000199</c:v>
                </c:pt>
                <c:pt idx="721">
                  <c:v>#N/A</c:v>
                </c:pt>
                <c:pt idx="722">
                  <c:v>#N/A</c:v>
                </c:pt>
                <c:pt idx="723">
                  <c:v>#N/A</c:v>
                </c:pt>
                <c:pt idx="724">
                  <c:v>#N/A</c:v>
                </c:pt>
                <c:pt idx="725">
                  <c:v>#N/A</c:v>
                </c:pt>
                <c:pt idx="726">
                  <c:v>#N/A</c:v>
                </c:pt>
                <c:pt idx="727">
                  <c:v>#N/A</c:v>
                </c:pt>
                <c:pt idx="728">
                  <c:v>#N/A</c:v>
                </c:pt>
                <c:pt idx="729">
                  <c:v>#N/A</c:v>
                </c:pt>
                <c:pt idx="730">
                  <c:v>37.000000000000213</c:v>
                </c:pt>
                <c:pt idx="731">
                  <c:v>#N/A</c:v>
                </c:pt>
                <c:pt idx="732">
                  <c:v>#N/A</c:v>
                </c:pt>
                <c:pt idx="733">
                  <c:v>#N/A</c:v>
                </c:pt>
                <c:pt idx="734">
                  <c:v>#N/A</c:v>
                </c:pt>
                <c:pt idx="735">
                  <c:v>#N/A</c:v>
                </c:pt>
                <c:pt idx="736">
                  <c:v>#N/A</c:v>
                </c:pt>
                <c:pt idx="737">
                  <c:v>#N/A</c:v>
                </c:pt>
                <c:pt idx="738">
                  <c:v>#N/A</c:v>
                </c:pt>
                <c:pt idx="739">
                  <c:v>#N/A</c:v>
                </c:pt>
                <c:pt idx="740">
                  <c:v>38.000000000000227</c:v>
                </c:pt>
                <c:pt idx="741">
                  <c:v>#N/A</c:v>
                </c:pt>
                <c:pt idx="742">
                  <c:v>#N/A</c:v>
                </c:pt>
                <c:pt idx="743">
                  <c:v>#N/A</c:v>
                </c:pt>
                <c:pt idx="744">
                  <c:v>#N/A</c:v>
                </c:pt>
                <c:pt idx="745">
                  <c:v>#N/A</c:v>
                </c:pt>
                <c:pt idx="746">
                  <c:v>#N/A</c:v>
                </c:pt>
                <c:pt idx="747">
                  <c:v>#N/A</c:v>
                </c:pt>
                <c:pt idx="748">
                  <c:v>#N/A</c:v>
                </c:pt>
                <c:pt idx="749">
                  <c:v>#N/A</c:v>
                </c:pt>
                <c:pt idx="750">
                  <c:v>39.000000000000242</c:v>
                </c:pt>
                <c:pt idx="751">
                  <c:v>#N/A</c:v>
                </c:pt>
                <c:pt idx="752">
                  <c:v>#N/A</c:v>
                </c:pt>
                <c:pt idx="753">
                  <c:v>#N/A</c:v>
                </c:pt>
                <c:pt idx="754">
                  <c:v>#N/A</c:v>
                </c:pt>
                <c:pt idx="755">
                  <c:v>#N/A</c:v>
                </c:pt>
                <c:pt idx="756">
                  <c:v>#N/A</c:v>
                </c:pt>
                <c:pt idx="757">
                  <c:v>#N/A</c:v>
                </c:pt>
                <c:pt idx="758">
                  <c:v>#N/A</c:v>
                </c:pt>
                <c:pt idx="759">
                  <c:v>#N/A</c:v>
                </c:pt>
                <c:pt idx="760">
                  <c:v>40.000000000000256</c:v>
                </c:pt>
                <c:pt idx="761">
                  <c:v>#N/A</c:v>
                </c:pt>
                <c:pt idx="762">
                  <c:v>#N/A</c:v>
                </c:pt>
                <c:pt idx="763">
                  <c:v>#N/A</c:v>
                </c:pt>
                <c:pt idx="764">
                  <c:v>#N/A</c:v>
                </c:pt>
                <c:pt idx="765">
                  <c:v>#N/A</c:v>
                </c:pt>
                <c:pt idx="766">
                  <c:v>#N/A</c:v>
                </c:pt>
                <c:pt idx="767">
                  <c:v>#N/A</c:v>
                </c:pt>
                <c:pt idx="768">
                  <c:v>#N/A</c:v>
                </c:pt>
                <c:pt idx="769">
                  <c:v>#N/A</c:v>
                </c:pt>
                <c:pt idx="770">
                  <c:v>41.00000000000027</c:v>
                </c:pt>
                <c:pt idx="771">
                  <c:v>#N/A</c:v>
                </c:pt>
                <c:pt idx="772">
                  <c:v>#N/A</c:v>
                </c:pt>
                <c:pt idx="773">
                  <c:v>#N/A</c:v>
                </c:pt>
                <c:pt idx="774">
                  <c:v>#N/A</c:v>
                </c:pt>
                <c:pt idx="775">
                  <c:v>#N/A</c:v>
                </c:pt>
                <c:pt idx="776">
                  <c:v>#N/A</c:v>
                </c:pt>
                <c:pt idx="777">
                  <c:v>#N/A</c:v>
                </c:pt>
                <c:pt idx="778">
                  <c:v>#N/A</c:v>
                </c:pt>
                <c:pt idx="779">
                  <c:v>#N/A</c:v>
                </c:pt>
                <c:pt idx="780">
                  <c:v>42.000000000000284</c:v>
                </c:pt>
                <c:pt idx="781">
                  <c:v>#N/A</c:v>
                </c:pt>
                <c:pt idx="782">
                  <c:v>#N/A</c:v>
                </c:pt>
                <c:pt idx="783">
                  <c:v>#N/A</c:v>
                </c:pt>
                <c:pt idx="784">
                  <c:v>#N/A</c:v>
                </c:pt>
                <c:pt idx="785">
                  <c:v>#N/A</c:v>
                </c:pt>
                <c:pt idx="786">
                  <c:v>#N/A</c:v>
                </c:pt>
                <c:pt idx="787">
                  <c:v>#N/A</c:v>
                </c:pt>
                <c:pt idx="788">
                  <c:v>#N/A</c:v>
                </c:pt>
                <c:pt idx="789">
                  <c:v>#N/A</c:v>
                </c:pt>
                <c:pt idx="790">
                  <c:v>43.000000000000298</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0</c:v>
                </c:pt>
                <c:pt idx="1">
                  <c:v>0.98473700747290427</c:v>
                </c:pt>
                <c:pt idx="2">
                  <c:v>1.9707925741889669</c:v>
                </c:pt>
                <c:pt idx="3">
                  <c:v>2.9610860184747216</c:v>
                </c:pt>
                <c:pt idx="4">
                  <c:v>3.9585357304745465</c:v>
                </c:pt>
                <c:pt idx="5">
                  <c:v>4.9660456277968521</c:v>
                </c:pt>
                <c:pt idx="6">
                  <c:v>5.9857801416581502</c:v>
                </c:pt>
                <c:pt idx="7">
                  <c:v>7.0184377263080782</c:v>
                </c:pt>
                <c:pt idx="8">
                  <c:v>8.0639758970996578</c:v>
                </c:pt>
                <c:pt idx="9">
                  <c:v>9.1223519271825548</c:v>
                </c:pt>
                <c:pt idx="10">
                  <c:v>10.193522849710263</c:v>
                </c:pt>
                <c:pt idx="11">
                  <c:v>11.277445460068151</c:v>
                </c:pt>
                <c:pt idx="12">
                  <c:v>12.374076318121705</c:v>
                </c:pt>
                <c:pt idx="13">
                  <c:v>13.483371750484361</c:v>
                </c:pt>
                <c:pt idx="14">
                  <c:v>14.605287852804278</c:v>
                </c:pt>
                <c:pt idx="15">
                  <c:v>15.739780492069482</c:v>
                </c:pt>
                <c:pt idx="16">
                  <c:v>16.886805308930761</c:v>
                </c:pt>
                <c:pt idx="17">
                  <c:v>18.046317720041731</c:v>
                </c:pt>
                <c:pt idx="18">
                  <c:v>19.218272920415501</c:v>
                </c:pt>
                <c:pt idx="19">
                  <c:v>20.402625885797381</c:v>
                </c:pt>
                <c:pt idx="20">
                  <c:v>21.599331375053055</c:v>
                </c:pt>
                <c:pt idx="21">
                  <c:v>22.808343932571688</c:v>
                </c:pt>
                <c:pt idx="22">
                  <c:v>24.029617890683419</c:v>
                </c:pt>
                <c:pt idx="23">
                  <c:v>25.263107372090694</c:v>
                </c:pt>
                <c:pt idx="24">
                  <c:v>26.508766292312938</c:v>
                </c:pt>
                <c:pt idx="25">
                  <c:v>27.766548362144015</c:v>
                </c:pt>
                <c:pt idx="26">
                  <c:v>29.036407090121966</c:v>
                </c:pt>
                <c:pt idx="27">
                  <c:v>30.318295785010548</c:v>
                </c:pt>
                <c:pt idx="28">
                  <c:v>31.612167558292008</c:v>
                </c:pt>
                <c:pt idx="29">
                  <c:v>32.917975326670643</c:v>
                </c:pt>
                <c:pt idx="30">
                  <c:v>34.235671814586652</c:v>
                </c:pt>
                <c:pt idx="31">
                  <c:v>35.565209556739731</c:v>
                </c:pt>
                <c:pt idx="32">
                  <c:v>36.906540900621998</c:v>
                </c:pt>
                <c:pt idx="33">
                  <c:v>38.259618009059736</c:v>
                </c:pt>
                <c:pt idx="34">
                  <c:v>39.624392862763472</c:v>
                </c:pt>
                <c:pt idx="35">
                  <c:v>41.000817262885903</c:v>
                </c:pt>
                <c:pt idx="36">
                  <c:v>42.388842833587283</c:v>
                </c:pt>
                <c:pt idx="37">
                  <c:v>43.788421024607679</c:v>
                </c:pt>
                <c:pt idx="38">
                  <c:v>45.199503113845751</c:v>
                </c:pt>
                <c:pt idx="39">
                  <c:v>46.622040209943556</c:v>
                </c:pt>
                <c:pt idx="40">
                  <c:v>48.055983254876885</c:v>
                </c:pt>
                <c:pt idx="41">
                  <c:v>49.501283026550759</c:v>
                </c:pt>
                <c:pt idx="42">
                  <c:v>50.957890141399595</c:v>
                </c:pt>
                <c:pt idx="43">
                  <c:v>52.425755056991591</c:v>
                </c:pt>
                <c:pt idx="44">
                  <c:v>53.904828074636939</c:v>
                </c:pt>
                <c:pt idx="45">
                  <c:v>55.395059341999392</c:v>
                </c:pt>
                <c:pt idx="46">
                  <c:v>56.896398855710757</c:v>
                </c:pt>
                <c:pt idx="47">
                  <c:v>58.408796463987933</c:v>
                </c:pt>
                <c:pt idx="48">
                  <c:v>59.932201869252012</c:v>
                </c:pt>
                <c:pt idx="49">
                  <c:v>61.466564630749055</c:v>
                </c:pt>
                <c:pt idx="50">
                  <c:v>63.011834167172154</c:v>
                </c:pt>
                <c:pt idx="51">
                  <c:v>64.567963696245272</c:v>
                </c:pt>
                <c:pt idx="52">
                  <c:v>66.13491417602863</c:v>
                </c:pt>
                <c:pt idx="53">
                  <c:v>67.712650368503375</c:v>
                </c:pt>
                <c:pt idx="54">
                  <c:v>69.301136901011404</c:v>
                </c:pt>
                <c:pt idx="55">
                  <c:v>70.900338268033593</c:v>
                </c:pt>
                <c:pt idx="56">
                  <c:v>72.510218832972328</c:v>
                </c:pt>
                <c:pt idx="57">
                  <c:v>74.130742829938129</c:v>
                </c:pt>
                <c:pt idx="58">
                  <c:v>75.761874365540137</c:v>
                </c:pt>
                <c:pt idx="59">
                  <c:v>77.403577420680165</c:v>
                </c:pt>
                <c:pt idx="60">
                  <c:v>79.055815852350065</c:v>
                </c:pt>
                <c:pt idx="61">
                  <c:v>80.718553395432181</c:v>
                </c:pt>
                <c:pt idx="62">
                  <c:v>82.391753664502673</c:v>
                </c:pt>
                <c:pt idx="63">
                  <c:v>84.075380155637333</c:v>
                </c:pt>
                <c:pt idx="64">
                  <c:v>85.769396248219863</c:v>
                </c:pt>
                <c:pt idx="65">
                  <c:v>87.473765206752091</c:v>
                </c:pt>
                <c:pt idx="66">
                  <c:v>89.188450182666188</c:v>
                </c:pt>
                <c:pt idx="67">
                  <c:v>90.913414216138392</c:v>
                </c:pt>
                <c:pt idx="68">
                  <c:v>92.64862023790414</c:v>
                </c:pt>
                <c:pt idx="69">
                  <c:v>94.394031071074309</c:v>
                </c:pt>
                <c:pt idx="70">
                  <c:v>96.14960943295236</c:v>
                </c:pt>
                <c:pt idx="71">
                  <c:v>97.915317936852134</c:v>
                </c:pt>
                <c:pt idx="72">
                  <c:v>99.691119093916086</c:v>
                </c:pt>
                <c:pt idx="73">
                  <c:v>101.47697531493367</c:v>
                </c:pt>
                <c:pt idx="74">
                  <c:v>103.27284891215973</c:v>
                </c:pt>
                <c:pt idx="75">
                  <c:v>105.07870210113261</c:v>
                </c:pt>
                <c:pt idx="76">
                  <c:v>106.8944970024917</c:v>
                </c:pt>
                <c:pt idx="77">
                  <c:v>108.72019564379444</c:v>
                </c:pt>
                <c:pt idx="78">
                  <c:v>110.55575996133214</c:v>
                </c:pt>
                <c:pt idx="79">
                  <c:v>112.40115180194485</c:v>
                </c:pt>
                <c:pt idx="80">
                  <c:v>114.25633292483468</c:v>
                </c:pt>
                <c:pt idx="81">
                  <c:v>116.12126500337764</c:v>
                </c:pt>
                <c:pt idx="82">
                  <c:v>117.99590962693364</c:v>
                </c:pt>
                <c:pt idx="83">
                  <c:v>119.88022830265433</c:v>
                </c:pt>
                <c:pt idx="84">
                  <c:v>121.77418245728894</c:v>
                </c:pt>
                <c:pt idx="85">
                  <c:v>123.67773343898742</c:v>
                </c:pt>
                <c:pt idx="86">
                  <c:v>125.59084251910106</c:v>
                </c:pt>
                <c:pt idx="87">
                  <c:v>127.51347089398026</c:v>
                </c:pt>
                <c:pt idx="88">
                  <c:v>129.44557968676909</c:v>
                </c:pt>
                <c:pt idx="89">
                  <c:v>131.38712994919675</c:v>
                </c:pt>
                <c:pt idx="90">
                  <c:v>133.33808266336544</c:v>
                </c:pt>
                <c:pt idx="91">
                  <c:v>135.29839874353465</c:v>
                </c:pt>
                <c:pt idx="92">
                  <c:v>137.26803903790145</c:v>
                </c:pt>
                <c:pt idx="93">
                  <c:v>139.24696433037687</c:v>
                </c:pt>
                <c:pt idx="94">
                  <c:v>141.23513534235798</c:v>
                </c:pt>
                <c:pt idx="95">
                  <c:v>143.23251273449554</c:v>
                </c:pt>
                <c:pt idx="96">
                  <c:v>145.23905710845696</c:v>
                </c:pt>
                <c:pt idx="97">
                  <c:v>147.25472900868456</c:v>
                </c:pt>
                <c:pt idx="98">
                  <c:v>149.27948892414881</c:v>
                </c:pt>
                <c:pt idx="99">
                  <c:v>151.3132972900963</c:v>
                </c:pt>
                <c:pt idx="100">
                  <c:v>153.35611448979256</c:v>
                </c:pt>
                <c:pt idx="101">
                  <c:v>155.40789902147051</c:v>
                </c:pt>
                <c:pt idx="102">
                  <c:v>157.46860566617082</c:v>
                </c:pt>
                <c:pt idx="103">
                  <c:v>159.53818732851278</c:v>
                </c:pt>
                <c:pt idx="104">
                  <c:v>161.61659687672525</c:v>
                </c:pt>
                <c:pt idx="105">
                  <c:v>163.70378714468549</c:v>
                </c:pt>
                <c:pt idx="106">
                  <c:v>165.79971093394778</c:v>
                </c:pt>
                <c:pt idx="107">
                  <c:v>167.90432101576221</c:v>
                </c:pt>
                <c:pt idx="108">
                  <c:v>170.01757013308296</c:v>
                </c:pt>
                <c:pt idx="109">
                  <c:v>172.13941100256613</c:v>
                </c:pt>
                <c:pt idx="110">
                  <c:v>174.26979631655689</c:v>
                </c:pt>
                <c:pt idx="111">
                  <c:v>176.4086787450658</c:v>
                </c:pt>
                <c:pt idx="112">
                  <c:v>178.55601093773407</c:v>
                </c:pt>
                <c:pt idx="113">
                  <c:v>180.71174552578765</c:v>
                </c:pt>
                <c:pt idx="114">
                  <c:v>182.87583512397993</c:v>
                </c:pt>
                <c:pt idx="115">
                  <c:v>185.04823233252293</c:v>
                </c:pt>
                <c:pt idx="116">
                  <c:v>187.22888973900692</c:v>
                </c:pt>
                <c:pt idx="117">
                  <c:v>189.41775992030801</c:v>
                </c:pt>
                <c:pt idx="118">
                  <c:v>191.61479544448395</c:v>
                </c:pt>
                <c:pt idx="119">
                  <c:v>193.81994887265762</c:v>
                </c:pt>
                <c:pt idx="120">
                  <c:v>196.03317276088848</c:v>
                </c:pt>
                <c:pt idx="121">
                  <c:v>198.25441966203144</c:v>
                </c:pt>
                <c:pt idx="122">
                  <c:v>200.48364212758315</c:v>
                </c:pt>
                <c:pt idx="123">
                  <c:v>202.72079270951585</c:v>
                </c:pt>
                <c:pt idx="124">
                  <c:v>204.96582396209809</c:v>
                </c:pt>
                <c:pt idx="125">
                  <c:v>207.2186884437028</c:v>
                </c:pt>
                <c:pt idx="126">
                  <c:v>209.47933871860215</c:v>
                </c:pt>
                <c:pt idx="127">
                  <c:v>211.7477273587493</c:v>
                </c:pt>
                <c:pt idx="128">
                  <c:v>214.0238069455468</c:v>
                </c:pt>
                <c:pt idx="129">
                  <c:v>216.30753007160166</c:v>
                </c:pt>
                <c:pt idx="130">
                  <c:v>218.59884934246691</c:v>
                </c:pt>
                <c:pt idx="131">
                  <c:v>220.89771737836946</c:v>
                </c:pt>
                <c:pt idx="132">
                  <c:v>223.20408681592434</c:v>
                </c:pt>
                <c:pt idx="133">
                  <c:v>225.51791030983512</c:v>
                </c:pt>
                <c:pt idx="134">
                  <c:v>227.83914053458034</c:v>
                </c:pt>
                <c:pt idx="135">
                  <c:v>230.16773018608603</c:v>
                </c:pt>
                <c:pt idx="136">
                  <c:v>232.50363198338414</c:v>
                </c:pt>
                <c:pt idx="137">
                  <c:v>234.84679867025673</c:v>
                </c:pt>
                <c:pt idx="138">
                  <c:v>237.19718301686595</c:v>
                </c:pt>
                <c:pt idx="139">
                  <c:v>239.55473782136974</c:v>
                </c:pt>
                <c:pt idx="140">
                  <c:v>241.91941591152303</c:v>
                </c:pt>
                <c:pt idx="141">
                  <c:v>244.29117014626451</c:v>
                </c:pt>
                <c:pt idx="142">
                  <c:v>246.66995341728881</c:v>
                </c:pt>
                <c:pt idx="143">
                  <c:v>249.05571865060426</c:v>
                </c:pt>
                <c:pt idx="144">
                  <c:v>251.44841880807564</c:v>
                </c:pt>
                <c:pt idx="145">
                  <c:v>253.84800688895251</c:v>
                </c:pt>
                <c:pt idx="146">
                  <c:v>256.2544359313826</c:v>
                </c:pt>
                <c:pt idx="147">
                  <c:v>258.66765901391034</c:v>
                </c:pt>
                <c:pt idx="148">
                  <c:v>261.08762925696061</c:v>
                </c:pt>
                <c:pt idx="149">
                  <c:v>263.5142998243075</c:v>
                </c:pt>
                <c:pt idx="150">
                  <c:v>265.94762392452799</c:v>
                </c:pt>
                <c:pt idx="151">
                  <c:v>268.38755544311249</c:v>
                </c:pt>
                <c:pt idx="152">
                  <c:v>270.83404957368759</c:v>
                </c:pt>
                <c:pt idx="153">
                  <c:v>273.28706218623444</c:v>
                </c:pt>
                <c:pt idx="154">
                  <c:v>275.74654919612357</c:v>
                </c:pt>
                <c:pt idx="155">
                  <c:v>278.21246656541138</c:v>
                </c:pt>
                <c:pt idx="156">
                  <c:v>280.68477030412311</c:v>
                </c:pt>
                <c:pt idx="157">
                  <c:v>283.16341647152194</c:v>
                </c:pt>
                <c:pt idx="158">
                  <c:v>285.64836117736445</c:v>
                </c:pt>
                <c:pt idx="159">
                  <c:v>288.13956058314193</c:v>
                </c:pt>
                <c:pt idx="160">
                  <c:v>290.6369709033084</c:v>
                </c:pt>
                <c:pt idx="161">
                  <c:v>293.14054840649425</c:v>
                </c:pt>
                <c:pt idx="162">
                  <c:v>295.65024941670663</c:v>
                </c:pt>
                <c:pt idx="163">
                  <c:v>298.16603031451535</c:v>
                </c:pt>
                <c:pt idx="164">
                  <c:v>300.68784753822553</c:v>
                </c:pt>
                <c:pt idx="165">
                  <c:v>303.21565758503584</c:v>
                </c:pt>
                <c:pt idx="166">
                  <c:v>305.74941701218341</c:v>
                </c:pt>
                <c:pt idx="167">
                  <c:v>308.28908243807433</c:v>
                </c:pt>
                <c:pt idx="168">
                  <c:v>310.83461054340074</c:v>
                </c:pt>
                <c:pt idx="169">
                  <c:v>313.38595807224374</c:v>
                </c:pt>
                <c:pt idx="170">
                  <c:v>315.94308183316269</c:v>
                </c:pt>
                <c:pt idx="171">
                  <c:v>318.50593870027041</c:v>
                </c:pt>
                <c:pt idx="172">
                  <c:v>321.07448561429476</c:v>
                </c:pt>
                <c:pt idx="173">
                  <c:v>323.64867958362618</c:v>
                </c:pt>
                <c:pt idx="174">
                  <c:v>326.22847768535166</c:v>
                </c:pt>
                <c:pt idx="175">
                  <c:v>328.81383706627469</c:v>
                </c:pt>
                <c:pt idx="176">
                  <c:v>331.40471494392153</c:v>
                </c:pt>
                <c:pt idx="177">
                  <c:v>334.00106860753368</c:v>
                </c:pt>
                <c:pt idx="178">
                  <c:v>336.6028554190467</c:v>
                </c:pt>
                <c:pt idx="179">
                  <c:v>339.21003281405518</c:v>
                </c:pt>
                <c:pt idx="180">
                  <c:v>341.82255830276409</c:v>
                </c:pt>
                <c:pt idx="181">
                  <c:v>344.4403894709265</c:v>
                </c:pt>
                <c:pt idx="182">
                  <c:v>347.06348398076761</c:v>
                </c:pt>
                <c:pt idx="183">
                  <c:v>349.6917995718951</c:v>
                </c:pt>
                <c:pt idx="184">
                  <c:v>352.32529406219612</c:v>
                </c:pt>
                <c:pt idx="185">
                  <c:v>354.96392534872047</c:v>
                </c:pt>
                <c:pt idx="186">
                  <c:v>357.60765140855068</c:v>
                </c:pt>
                <c:pt idx="187">
                  <c:v>360.25643029965806</c:v>
                </c:pt>
                <c:pt idx="188">
                  <c:v>362.91022016174588</c:v>
                </c:pt>
                <c:pt idx="189">
                  <c:v>365.56897921707883</c:v>
                </c:pt>
                <c:pt idx="190">
                  <c:v>368.2326657712992</c:v>
                </c:pt>
                <c:pt idx="191">
                  <c:v>370.90123821422986</c:v>
                </c:pt>
                <c:pt idx="192">
                  <c:v>373.57465502066395</c:v>
                </c:pt>
                <c:pt idx="193">
                  <c:v>376.25287475114129</c:v>
                </c:pt>
                <c:pt idx="194">
                  <c:v>378.93585605271164</c:v>
                </c:pt>
                <c:pt idx="195">
                  <c:v>381.62355765968505</c:v>
                </c:pt>
                <c:pt idx="196">
                  <c:v>384.31593839436891</c:v>
                </c:pt>
                <c:pt idx="197">
                  <c:v>387.01295716779208</c:v>
                </c:pt>
                <c:pt idx="198">
                  <c:v>389.71457298041616</c:v>
                </c:pt>
                <c:pt idx="199">
                  <c:v>392.42074492283371</c:v>
                </c:pt>
                <c:pt idx="200">
                  <c:v>395.13143217645376</c:v>
                </c:pt>
                <c:pt idx="201">
                  <c:v>397.84659401417463</c:v>
                </c:pt>
                <c:pt idx="202">
                  <c:v>400.56618980104372</c:v>
                </c:pt>
                <c:pt idx="203">
                  <c:v>403.29017899490486</c:v>
                </c:pt>
                <c:pt idx="204">
                  <c:v>406.0185211470332</c:v>
                </c:pt>
                <c:pt idx="205">
                  <c:v>408.7511759027571</c:v>
                </c:pt>
                <c:pt idx="206">
                  <c:v>411.48810300206821</c:v>
                </c:pt>
                <c:pt idx="207">
                  <c:v>414.22926228021845</c:v>
                </c:pt>
                <c:pt idx="208">
                  <c:v>416.97461366830515</c:v>
                </c:pt>
                <c:pt idx="209">
                  <c:v>419.72411719384377</c:v>
                </c:pt>
                <c:pt idx="210">
                  <c:v>422.4777329813283</c:v>
                </c:pt>
                <c:pt idx="211">
                  <c:v>425.2354212527797</c:v>
                </c:pt>
                <c:pt idx="212">
                  <c:v>427.99714232828211</c:v>
                </c:pt>
                <c:pt idx="213">
                  <c:v>430.76285662650719</c:v>
                </c:pt>
                <c:pt idx="214">
                  <c:v>433.53252466522645</c:v>
                </c:pt>
                <c:pt idx="215">
                  <c:v>436.30610706181182</c:v>
                </c:pt>
                <c:pt idx="216">
                  <c:v>439.08356453372431</c:v>
                </c:pt>
                <c:pt idx="217">
                  <c:v>441.8648578989912</c:v>
                </c:pt>
                <c:pt idx="218">
                  <c:v>444.64994807667131</c:v>
                </c:pt>
                <c:pt idx="219">
                  <c:v>447.43879608730873</c:v>
                </c:pt>
                <c:pt idx="220">
                  <c:v>450.2313630533755</c:v>
                </c:pt>
                <c:pt idx="221">
                  <c:v>453.02761019970228</c:v>
                </c:pt>
                <c:pt idx="222">
                  <c:v>455.82749885389813</c:v>
                </c:pt>
                <c:pt idx="223">
                  <c:v>458.63099044675897</c:v>
                </c:pt>
                <c:pt idx="224">
                  <c:v>461.43804651266464</c:v>
                </c:pt>
                <c:pt idx="225">
                  <c:v>464.24862868996513</c:v>
                </c:pt>
                <c:pt idx="226">
                  <c:v>467.06269872135573</c:v>
                </c:pt>
                <c:pt idx="227">
                  <c:v>469.88021845424123</c:v>
                </c:pt>
                <c:pt idx="228">
                  <c:v>472.70114984108926</c:v>
                </c:pt>
                <c:pt idx="229">
                  <c:v>475.52545493977289</c:v>
                </c:pt>
                <c:pt idx="230">
                  <c:v>478.35309591390251</c:v>
                </c:pt>
                <c:pt idx="231">
                  <c:v>481.18403503314727</c:v>
                </c:pt>
                <c:pt idx="232">
                  <c:v>484.01823467354569</c:v>
                </c:pt>
                <c:pt idx="233">
                  <c:v>486.85565731780628</c:v>
                </c:pt>
                <c:pt idx="234">
                  <c:v>489.69626555559734</c:v>
                </c:pt>
                <c:pt idx="235">
                  <c:v>492.54002208382673</c:v>
                </c:pt>
                <c:pt idx="236">
                  <c:v>495.38688970691163</c:v>
                </c:pt>
                <c:pt idx="237">
                  <c:v>498.23683133703787</c:v>
                </c:pt>
                <c:pt idx="238">
                  <c:v>501.08980999440939</c:v>
                </c:pt>
                <c:pt idx="239">
                  <c:v>503.94578880748787</c:v>
                </c:pt>
                <c:pt idx="240">
                  <c:v>506.80473101322235</c:v>
                </c:pt>
                <c:pt idx="241">
                  <c:v>509.66659995726928</c:v>
                </c:pt>
                <c:pt idx="242">
                  <c:v>512.5313590942028</c:v>
                </c:pt>
                <c:pt idx="243">
                  <c:v>515.3989719877153</c:v>
                </c:pt>
                <c:pt idx="244">
                  <c:v>518.26940231080891</c:v>
                </c:pt>
                <c:pt idx="245">
                  <c:v>521.14261384597705</c:v>
                </c:pt>
                <c:pt idx="246">
                  <c:v>524.01857048537704</c:v>
                </c:pt>
                <c:pt idx="247">
                  <c:v>526.89723623099349</c:v>
                </c:pt>
                <c:pt idx="248">
                  <c:v>529.7785751947921</c:v>
                </c:pt>
                <c:pt idx="249">
                  <c:v>532.66255159886509</c:v>
                </c:pt>
                <c:pt idx="250">
                  <c:v>535.54912977556694</c:v>
                </c:pt>
                <c:pt idx="251">
                  <c:v>538.43827139841926</c:v>
                </c:pt>
                <c:pt idx="252">
                  <c:v>541.3299327204312</c:v>
                </c:pt>
                <c:pt idx="253">
                  <c:v>544.22406736100527</c:v>
                </c:pt>
                <c:pt idx="254">
                  <c:v>547.12062908546022</c:v>
                </c:pt>
                <c:pt idx="255">
                  <c:v>550.01957180521993</c:v>
                </c:pt>
                <c:pt idx="256">
                  <c:v>552.92084957798886</c:v>
                </c:pt>
                <c:pt idx="257">
                  <c:v>555.82441660791301</c:v>
                </c:pt>
                <c:pt idx="258">
                  <c:v>558.73022724572775</c:v>
                </c:pt>
                <c:pt idx="259">
                  <c:v>561.63823598889178</c:v>
                </c:pt>
                <c:pt idx="260">
                  <c:v>564.54839748170787</c:v>
                </c:pt>
                <c:pt idx="261">
                  <c:v>567.46066651543026</c:v>
                </c:pt>
                <c:pt idx="262">
                  <c:v>570.37499802835907</c:v>
                </c:pt>
                <c:pt idx="263">
                  <c:v>573.29134710592143</c:v>
                </c:pt>
                <c:pt idx="264">
                  <c:v>576.20966898074039</c:v>
                </c:pt>
                <c:pt idx="265">
                  <c:v>579.12991903269051</c:v>
                </c:pt>
                <c:pt idx="266">
                  <c:v>582.0520527889413</c:v>
                </c:pt>
                <c:pt idx="267">
                  <c:v>584.97602592398846</c:v>
                </c:pt>
                <c:pt idx="268">
                  <c:v>587.90179425967244</c:v>
                </c:pt>
                <c:pt idx="269">
                  <c:v>590.82931376518513</c:v>
                </c:pt>
                <c:pt idx="270">
                  <c:v>593.75854055706498</c:v>
                </c:pt>
                <c:pt idx="271">
                  <c:v>596.68943089917968</c:v>
                </c:pt>
                <c:pt idx="272">
                  <c:v>599.62194120269771</c:v>
                </c:pt>
                <c:pt idx="273">
                  <c:v>602.55602802604824</c:v>
                </c:pt>
                <c:pt idx="274">
                  <c:v>605.49164807486932</c:v>
                </c:pt>
                <c:pt idx="275">
                  <c:v>608.4287582019457</c:v>
                </c:pt>
                <c:pt idx="276">
                  <c:v>611.36731540713481</c:v>
                </c:pt>
                <c:pt idx="277">
                  <c:v>614.30727683728219</c:v>
                </c:pt>
                <c:pt idx="278">
                  <c:v>617.24859978612585</c:v>
                </c:pt>
                <c:pt idx="279">
                  <c:v>620.19124169419069</c:v>
                </c:pt>
                <c:pt idx="280">
                  <c:v>623.13516014867139</c:v>
                </c:pt>
                <c:pt idx="281">
                  <c:v>626.08031288330585</c:v>
                </c:pt>
                <c:pt idx="282">
                  <c:v>629.0266577782379</c:v>
                </c:pt>
                <c:pt idx="283">
                  <c:v>631.97415285987029</c:v>
                </c:pt>
                <c:pt idx="284">
                  <c:v>634.92275630070731</c:v>
                </c:pt>
                <c:pt idx="285">
                  <c:v>637.87242641918806</c:v>
                </c:pt>
                <c:pt idx="286">
                  <c:v>640.82312167950988</c:v>
                </c:pt>
                <c:pt idx="287">
                  <c:v>643.77480069144224</c:v>
                </c:pt>
                <c:pt idx="288">
                  <c:v>646.72742221013118</c:v>
                </c:pt>
                <c:pt idx="289">
                  <c:v>649.68094513589472</c:v>
                </c:pt>
                <c:pt idx="290">
                  <c:v>652.63532851400896</c:v>
                </c:pt>
                <c:pt idx="291">
                  <c:v>655.59053153448519</c:v>
                </c:pt>
                <c:pt idx="292">
                  <c:v>658.54651353183851</c:v>
                </c:pt>
                <c:pt idx="293">
                  <c:v>661.50323398484727</c:v>
                </c:pt>
                <c:pt idx="294">
                  <c:v>664.46065251630421</c:v>
                </c:pt>
                <c:pt idx="295">
                  <c:v>667.41872889275896</c:v>
                </c:pt>
                <c:pt idx="296">
                  <c:v>670.37742302425261</c:v>
                </c:pt>
                <c:pt idx="297">
                  <c:v>673.33669496404377</c:v>
                </c:pt>
                <c:pt idx="298">
                  <c:v>676.29647430934915</c:v>
                </c:pt>
                <c:pt idx="299">
                  <c:v>679.25662970024234</c:v>
                </c:pt>
                <c:pt idx="300">
                  <c:v>682.21699963949482</c:v>
                </c:pt>
                <c:pt idx="301">
                  <c:v>685.17742321519722</c:v>
                </c:pt>
                <c:pt idx="302">
                  <c:v>688.13774010228497</c:v>
                </c:pt>
                <c:pt idx="303">
                  <c:v>691.09779056391767</c:v>
                </c:pt>
                <c:pt idx="304">
                  <c:v>694.0574154527128</c:v>
                </c:pt>
                <c:pt idx="305">
                  <c:v>697.01645621183729</c:v>
                </c:pt>
                <c:pt idx="306">
                  <c:v>699.97475487595773</c:v>
                </c:pt>
                <c:pt idx="307">
                  <c:v>702.9321540720515</c:v>
                </c:pt>
                <c:pt idx="308">
                  <c:v>705.8884970200819</c:v>
                </c:pt>
                <c:pt idx="309">
                  <c:v>708.84362753353707</c:v>
                </c:pt>
                <c:pt idx="310">
                  <c:v>711.79739001983717</c:v>
                </c:pt>
                <c:pt idx="311">
                  <c:v>714.74962948060943</c:v>
                </c:pt>
                <c:pt idx="312">
                  <c:v>717.70019151183567</c:v>
                </c:pt>
                <c:pt idx="313">
                  <c:v>720.64892230387136</c:v>
                </c:pt>
                <c:pt idx="314">
                  <c:v>723.59566864134092</c:v>
                </c:pt>
                <c:pt idx="315">
                  <c:v>726.54027790290945</c:v>
                </c:pt>
                <c:pt idx="316">
                  <c:v>729.48259806093381</c:v>
                </c:pt>
                <c:pt idx="317">
                  <c:v>732.42247768099435</c:v>
                </c:pt>
                <c:pt idx="318">
                  <c:v>735.35976592130987</c:v>
                </c:pt>
                <c:pt idx="319">
                  <c:v>738.29431253203791</c:v>
                </c:pt>
                <c:pt idx="320">
                  <c:v>741.22596785446115</c:v>
                </c:pt>
                <c:pt idx="321">
                  <c:v>744.15459501406895</c:v>
                </c:pt>
                <c:pt idx="322">
                  <c:v>747.08008206564102</c:v>
                </c:pt>
                <c:pt idx="323">
                  <c:v>750.00232969730439</c:v>
                </c:pt>
                <c:pt idx="324">
                  <c:v>752.92123898225566</c:v>
                </c:pt>
                <c:pt idx="325">
                  <c:v>755.83671137720887</c:v>
                </c:pt>
                <c:pt idx="326">
                  <c:v>758.74864872080457</c:v>
                </c:pt>
                <c:pt idx="327">
                  <c:v>761.65695323198054</c:v>
                </c:pt>
                <c:pt idx="328">
                  <c:v>764.56152750830597</c:v>
                </c:pt>
                <c:pt idx="329">
                  <c:v>767.46227452427888</c:v>
                </c:pt>
                <c:pt idx="330">
                  <c:v>770.35909762958784</c:v>
                </c:pt>
                <c:pt idx="331">
                  <c:v>773.25190054733946</c:v>
                </c:pt>
                <c:pt idx="332">
                  <c:v>776.14058737225184</c:v>
                </c:pt>
                <c:pt idx="333">
                  <c:v>779.02506256881418</c:v>
                </c:pt>
                <c:pt idx="334">
                  <c:v>781.90523096941467</c:v>
                </c:pt>
                <c:pt idx="335">
                  <c:v>784.78099777243631</c:v>
                </c:pt>
                <c:pt idx="336">
                  <c:v>787.65226854032164</c:v>
                </c:pt>
                <c:pt idx="337">
                  <c:v>790.51894919760764</c:v>
                </c:pt>
                <c:pt idx="338">
                  <c:v>793.38094602893091</c:v>
                </c:pt>
                <c:pt idx="339">
                  <c:v>796.23816567700374</c:v>
                </c:pt>
                <c:pt idx="340">
                  <c:v>799.09051514056284</c:v>
                </c:pt>
                <c:pt idx="341">
                  <c:v>801.93790177228971</c:v>
                </c:pt>
                <c:pt idx="342">
                  <c:v>804.78023327670508</c:v>
                </c:pt>
                <c:pt idx="343">
                  <c:v>807.6174177080369</c:v>
                </c:pt>
                <c:pt idx="344">
                  <c:v>810.4493634680631</c:v>
                </c:pt>
                <c:pt idx="345">
                  <c:v>813.2759793039296</c:v>
                </c:pt>
                <c:pt idx="346">
                  <c:v>816.09717430594401</c:v>
                </c:pt>
                <c:pt idx="347">
                  <c:v>818.91285790534641</c:v>
                </c:pt>
                <c:pt idx="348">
                  <c:v>821.72294118822538</c:v>
                </c:pt>
                <c:pt idx="349">
                  <c:v>824.52733820371998</c:v>
                </c:pt>
                <c:pt idx="350">
                  <c:v>827.32596463408004</c:v>
                </c:pt>
                <c:pt idx="351">
                  <c:v>830.1187364704416</c:v>
                </c:pt>
                <c:pt idx="352">
                  <c:v>832.90557001058255</c:v>
                </c:pt>
                <c:pt idx="353">
                  <c:v>835.68638185666168</c:v>
                </c:pt>
                <c:pt idx="354">
                  <c:v>838.46108891294227</c:v>
                </c:pt>
                <c:pt idx="355">
                  <c:v>841.2296083835007</c:v>
                </c:pt>
                <c:pt idx="356">
                  <c:v>843.99185776992022</c:v>
                </c:pt>
                <c:pt idx="357">
                  <c:v>846.74775486897045</c:v>
                </c:pt>
                <c:pt idx="358">
                  <c:v>849.49721777027344</c:v>
                </c:pt>
                <c:pt idx="359">
                  <c:v>852.24016485395634</c:v>
                </c:pt>
                <c:pt idx="360">
                  <c:v>854.97654215868852</c:v>
                </c:pt>
                <c:pt idx="361">
                  <c:v>857.70635062848544</c:v>
                </c:pt>
                <c:pt idx="362">
                  <c:v>860.42961849976757</c:v>
                </c:pt>
                <c:pt idx="363">
                  <c:v>863.14637381175601</c:v>
                </c:pt>
                <c:pt idx="364">
                  <c:v>865.85664440831601</c:v>
                </c:pt>
                <c:pt idx="365">
                  <c:v>868.56045793977842</c:v>
                </c:pt>
                <c:pt idx="366">
                  <c:v>871.25784186474016</c:v>
                </c:pt>
                <c:pt idx="367">
                  <c:v>873.9488234518434</c:v>
                </c:pt>
                <c:pt idx="368">
                  <c:v>876.63342978153457</c:v>
                </c:pt>
                <c:pt idx="369">
                  <c:v>879.31168774780201</c:v>
                </c:pt>
                <c:pt idx="370">
                  <c:v>881.98362405989451</c:v>
                </c:pt>
                <c:pt idx="371">
                  <c:v>884.64926524401915</c:v>
                </c:pt>
                <c:pt idx="372">
                  <c:v>887.30863764501999</c:v>
                </c:pt>
                <c:pt idx="373">
                  <c:v>889.96176742803766</c:v>
                </c:pt>
                <c:pt idx="374">
                  <c:v>892.60868058014921</c:v>
                </c:pt>
                <c:pt idx="375">
                  <c:v>895.2494029119897</c:v>
                </c:pt>
                <c:pt idx="376">
                  <c:v>897.88396005935545</c:v>
                </c:pt>
                <c:pt idx="377">
                  <c:v>900.5123774847882</c:v>
                </c:pt>
                <c:pt idx="378">
                  <c:v>903.13468047914216</c:v>
                </c:pt>
                <c:pt idx="379">
                  <c:v>905.75089416313267</c:v>
                </c:pt>
                <c:pt idx="380">
                  <c:v>908.36104348886784</c:v>
                </c:pt>
                <c:pt idx="381">
                  <c:v>910.96515324136226</c:v>
                </c:pt>
                <c:pt idx="382">
                  <c:v>913.56324804003418</c:v>
                </c:pt>
                <c:pt idx="383">
                  <c:v>916.1553523401858</c:v>
                </c:pt>
                <c:pt idx="384">
                  <c:v>918.74149043446653</c:v>
                </c:pt>
                <c:pt idx="385">
                  <c:v>921.32168645432034</c:v>
                </c:pt>
                <c:pt idx="386">
                  <c:v>923.89596437141699</c:v>
                </c:pt>
                <c:pt idx="387">
                  <c:v>926.46434799906694</c:v>
                </c:pt>
                <c:pt idx="388">
                  <c:v>929.02686099362063</c:v>
                </c:pt>
                <c:pt idx="389">
                  <c:v>931.58352685585248</c:v>
                </c:pt>
                <c:pt idx="390">
                  <c:v>934.13436893232949</c:v>
                </c:pt>
                <c:pt idx="391">
                  <c:v>936.67941041676465</c:v>
                </c:pt>
                <c:pt idx="392">
                  <c:v>939.21867435135528</c:v>
                </c:pt>
                <c:pt idx="393">
                  <c:v>941.75218362810699</c:v>
                </c:pt>
                <c:pt idx="394">
                  <c:v>944.27996099014331</c:v>
                </c:pt>
                <c:pt idx="395">
                  <c:v>946.80202903300005</c:v>
                </c:pt>
                <c:pt idx="396">
                  <c:v>949.31841020590662</c:v>
                </c:pt>
                <c:pt idx="397">
                  <c:v>951.82912681305288</c:v>
                </c:pt>
                <c:pt idx="398">
                  <c:v>954.33420101484217</c:v>
                </c:pt>
                <c:pt idx="399">
                  <c:v>956.83365482913075</c:v>
                </c:pt>
                <c:pt idx="400">
                  <c:v>959.32751013245434</c:v>
                </c:pt>
                <c:pt idx="401">
                  <c:v>983.95982806633049</c:v>
                </c:pt>
                <c:pt idx="402">
                  <c:v>1008.0461850599833</c:v>
                </c:pt>
                <c:pt idx="403">
                  <c:v>1031.6071871818347</c:v>
                </c:pt>
                <c:pt idx="404">
                  <c:v>1054.6621739207383</c:v>
                </c:pt>
                <c:pt idx="405">
                  <c:v>1077.2293207328221</c:v>
                </c:pt>
                <c:pt idx="406">
                  <c:v>1099.3257313242746</c:v>
                </c:pt>
                <c:pt idx="407">
                  <c:v>1120.9675208855283</c:v>
                </c:pt>
                <c:pt idx="408">
                  <c:v>1142.1698913268979</c:v>
                </c:pt>
                <c:pt idx="409">
                  <c:v>1162.947199425651</c:v>
                </c:pt>
                <c:pt idx="410">
                  <c:v>1183.3130186754493</c:v>
                </c:pt>
                <c:pt idx="411">
                  <c:v>1203.2801955275715</c:v>
                </c:pt>
                <c:pt idx="412">
                  <c:v>1222.8609006264969</c:v>
                </c:pt>
                <c:pt idx="413">
                  <c:v>1242.0666755678985</c:v>
                </c:pt>
                <c:pt idx="414">
                  <c:v>1260.9084756429668</c:v>
                </c:pt>
                <c:pt idx="415">
                  <c:v>1279.3967089776197</c:v>
                </c:pt>
                <c:pt idx="416">
                  <c:v>1297.5412724272512</c:v>
                </c:pt>
                <c:pt idx="417">
                  <c:v>1315.351584546094</c:v>
                </c:pt>
                <c:pt idx="418">
                  <c:v>1332.8366159141028</c:v>
                </c:pt>
                <c:pt idx="419">
                  <c:v>1350.0049170727225</c:v>
                </c:pt>
                <c:pt idx="420">
                  <c:v>1366.8646442933325</c:v>
                </c:pt>
                <c:pt idx="421">
                  <c:v>1383.4235833779983</c:v>
                </c:pt>
                <c:pt idx="422">
                  <c:v>1399.6891716709438</c:v>
                </c:pt>
                <c:pt idx="423">
                  <c:v>1415.6685184404942</c:v>
                </c:pt>
                <c:pt idx="424">
                  <c:v>1431.3684237747725</c:v>
                </c:pt>
                <c:pt idx="425">
                  <c:v>1446.7953961198873</c:v>
                </c:pt>
                <c:pt idx="426">
                  <c:v>1461.9556685764751</c:v>
                </c:pt>
                <c:pt idx="427">
                  <c:v>1476.855214059035</c:v>
                </c:pt>
                <c:pt idx="428">
                  <c:v>1491.4997594123483</c:v>
                </c:pt>
                <c:pt idx="429">
                  <c:v>1505.8947985702378</c:v>
                </c:pt>
                <c:pt idx="430">
                  <c:v>1520.0456048338697</c:v>
                </c:pt>
                <c:pt idx="431">
                  <c:v>1533.9572423396069</c:v>
                </c:pt>
                <c:pt idx="432">
                  <c:v>1547.6345767799812</c:v>
                </c:pt>
                <c:pt idx="433">
                  <c:v>1561.0822854355936</c:v>
                </c:pt>
                <c:pt idx="434">
                  <c:v>1574.3048665705676</c:v>
                </c:pt>
                <c:pt idx="435">
                  <c:v>1587.3066482395388</c:v>
                </c:pt>
                <c:pt idx="436">
                  <c:v>1600.0917965499723</c:v>
                </c:pt>
                <c:pt idx="437">
                  <c:v>1612.6643234198289</c:v>
                </c:pt>
                <c:pt idx="438">
                  <c:v>1625.0280938672004</c:v>
                </c:pt>
                <c:pt idx="439">
                  <c:v>1637.1868328654512</c:v>
                </c:pt>
                <c:pt idx="440">
                  <c:v>1649.1441317946246</c:v>
                </c:pt>
                <c:pt idx="441">
                  <c:v>1660.9034545173502</c:v>
                </c:pt>
                <c:pt idx="442">
                  <c:v>1672.4681431051963</c:v>
                </c:pt>
                <c:pt idx="443">
                  <c:v>1683.8414232393395</c:v>
                </c:pt>
                <c:pt idx="444">
                  <c:v>1695.0264093075298</c:v>
                </c:pt>
                <c:pt idx="445">
                  <c:v>1706.0261092176106</c:v>
                </c:pt>
                <c:pt idx="446">
                  <c:v>1716.8434289462873</c:v>
                </c:pt>
                <c:pt idx="447">
                  <c:v>1727.481176840407</c:v>
                </c:pt>
                <c:pt idx="448">
                  <c:v>1737.9420676867044</c:v>
                </c:pt>
                <c:pt idx="449">
                  <c:v>1748.2287265647778</c:v>
                </c:pt>
                <c:pt idx="450">
                  <c:v>1758.3436924969649</c:v>
                </c:pt>
                <c:pt idx="451">
                  <c:v>1768.289421907785</c:v>
                </c:pt>
                <c:pt idx="452">
                  <c:v>1778.0682919047022</c:v>
                </c:pt>
                <c:pt idx="453">
                  <c:v>1787.6826033911148</c:v>
                </c:pt>
                <c:pt idx="454">
                  <c:v>1797.1345840217057</c:v>
                </c:pt>
                <c:pt idx="455">
                  <c:v>1806.4263910095788</c:v>
                </c:pt>
                <c:pt idx="456">
                  <c:v>1815.560113793945</c:v>
                </c:pt>
                <c:pt idx="457">
                  <c:v>1824.5377765765263</c:v>
                </c:pt>
                <c:pt idx="458">
                  <c:v>1833.3613407342839</c:v>
                </c:pt>
                <c:pt idx="459">
                  <c:v>1842.0327071155643</c:v>
                </c:pt>
                <c:pt idx="460">
                  <c:v>1850.5537182262879</c:v>
                </c:pt>
                <c:pt idx="461">
                  <c:v>1858.9261603123596</c:v>
                </c:pt>
                <c:pt idx="462">
                  <c:v>1867.1517653440819</c:v>
                </c:pt>
                <c:pt idx="463">
                  <c:v>1875.2322129079728</c:v>
                </c:pt>
                <c:pt idx="464">
                  <c:v>1883.1691320110449</c:v>
                </c:pt>
                <c:pt idx="465">
                  <c:v>1890.9641028022809</c:v>
                </c:pt>
                <c:pt idx="466">
                  <c:v>1898.61865821574</c:v>
                </c:pt>
                <c:pt idx="467">
                  <c:v>1906.134285539455</c:v>
                </c:pt>
                <c:pt idx="468">
                  <c:v>1913.5124279140234</c:v>
                </c:pt>
                <c:pt idx="469">
                  <c:v>1920.7544857645526</c:v>
                </c:pt>
                <c:pt idx="470">
                  <c:v>1927.8618181694021</c:v>
                </c:pt>
                <c:pt idx="471">
                  <c:v>1934.8357441689566</c:v>
                </c:pt>
                <c:pt idx="472">
                  <c:v>1941.6775440174697</c:v>
                </c:pt>
                <c:pt idx="473">
                  <c:v>1948.3884603808444</c:v>
                </c:pt>
                <c:pt idx="474">
                  <c:v>1954.9696994830424</c:v>
                </c:pt>
                <c:pt idx="475">
                  <c:v>1961.4224322036653</c:v>
                </c:pt>
                <c:pt idx="476">
                  <c:v>1967.747795129101</c:v>
                </c:pt>
                <c:pt idx="477">
                  <c:v>1973.9468915594985</c:v>
                </c:pt>
                <c:pt idx="478">
                  <c:v>1980.0207924737019</c:v>
                </c:pt>
                <c:pt idx="479">
                  <c:v>1985.9705374541638</c:v>
                </c:pt>
                <c:pt idx="480">
                  <c:v>1991.7971355737438</c:v>
                </c:pt>
                <c:pt idx="481">
                  <c:v>1997.5015662461981</c:v>
                </c:pt>
                <c:pt idx="482">
                  <c:v>2003.0847800420711</c:v>
                </c:pt>
                <c:pt idx="483">
                  <c:v>2008.5476994716109</c:v>
                </c:pt>
                <c:pt idx="484">
                  <c:v>2013.8912197362474</c:v>
                </c:pt>
                <c:pt idx="485">
                  <c:v>2019.116209450098</c:v>
                </c:pt>
                <c:pt idx="486">
                  <c:v>2024.2235113328923</c:v>
                </c:pt>
                <c:pt idx="487">
                  <c:v>2029.2139428756429</c:v>
                </c:pt>
                <c:pt idx="488">
                  <c:v>2034.0882969803306</c:v>
                </c:pt>
                <c:pt idx="489">
                  <c:v>2038.8473425748114</c:v>
                </c:pt>
                <c:pt idx="490">
                  <c:v>2043.4918252041105</c:v>
                </c:pt>
                <c:pt idx="491">
                  <c:v>2048.0224675992131</c:v>
                </c:pt>
                <c:pt idx="492">
                  <c:v>2052.43997022443</c:v>
                </c:pt>
                <c:pt idx="493">
                  <c:v>2056.745011804368</c:v>
                </c:pt>
                <c:pt idx="494">
                  <c:v>2060.9382498315153</c:v>
                </c:pt>
                <c:pt idx="495">
                  <c:v>2065.0203210554164</c:v>
                </c:pt>
                <c:pt idx="496">
                  <c:v>2068.9918419543851</c:v>
                </c:pt>
                <c:pt idx="497">
                  <c:v>2072.8534091907018</c:v>
                </c:pt>
                <c:pt idx="498">
                  <c:v>2076.6056000502076</c:v>
                </c:pt>
                <c:pt idx="499">
                  <c:v>2080.2489728672176</c:v>
                </c:pt>
                <c:pt idx="500">
                  <c:v>2083.7840674356667</c:v>
                </c:pt>
                <c:pt idx="501">
                  <c:v>2087.2114054074027</c:v>
                </c:pt>
                <c:pt idx="502">
                  <c:v>2090.5314906785634</c:v>
                </c:pt>
                <c:pt idx="503">
                  <c:v>2093.7448097649776</c:v>
                </c:pt>
                <c:pt idx="504">
                  <c:v>2096.8518321675706</c:v>
                </c:pt>
                <c:pt idx="505">
                  <c:v>2099.8530107287779</c:v>
                </c:pt>
                <c:pt idx="506">
                  <c:v>2102.7487819810194</c:v>
                </c:pt>
                <c:pt idx="507">
                  <c:v>2105.5395664883395</c:v>
                </c:pt>
                <c:pt idx="508">
                  <c:v>2108.2257691823761</c:v>
                </c:pt>
                <c:pt idx="509">
                  <c:v>2110.807779693906</c:v>
                </c:pt>
                <c:pt idx="510">
                  <c:v>2113.2859726812926</c:v>
                </c:pt>
                <c:pt idx="511">
                  <c:v>2115.6607081572611</c:v>
                </c:pt>
                <c:pt idx="512">
                  <c:v>2117.932331815548</c:v>
                </c:pt>
                <c:pt idx="513">
                  <c:v>2120.1011753590815</c:v>
                </c:pt>
                <c:pt idx="514">
                  <c:v>2122.1675568315004</c:v>
                </c:pt>
                <c:pt idx="515">
                  <c:v>2124.1317809539551</c:v>
                </c:pt>
                <c:pt idx="516">
                  <c:v>2125.9941394693001</c:v>
                </c:pt>
                <c:pt idx="517">
                  <c:v>2127.7549114959402</c:v>
                </c:pt>
                <c:pt idx="518">
                  <c:v>2129.4143638937599</c:v>
                </c:pt>
                <c:pt idx="519">
                  <c:v>2130.9727516447097</c:v>
                </c:pt>
                <c:pt idx="520">
                  <c:v>2132.4303182507697</c:v>
                </c:pt>
                <c:pt idx="521">
                  <c:v>2133.7872961521034</c:v>
                </c:pt>
                <c:pt idx="522">
                  <c:v>2135.0439071682822</c:v>
                </c:pt>
                <c:pt idx="523">
                  <c:v>2136.200362965456</c:v>
                </c:pt>
                <c:pt idx="524">
                  <c:v>2137.2568655522532</c:v>
                </c:pt>
                <c:pt idx="525">
                  <c:v>2138.2136078070039</c:v>
                </c:pt>
                <c:pt idx="526">
                  <c:v>2139.0707740385515</c:v>
                </c:pt>
                <c:pt idx="527">
                  <c:v>2139.8285405824527</c:v>
                </c:pt>
                <c:pt idx="528">
                  <c:v>2140.4870764337247</c:v>
                </c:pt>
                <c:pt idx="529">
                  <c:v>2141.0465439165023</c:v>
                </c:pt>
                <c:pt idx="530">
                  <c:v>2141.5070993900003</c:v>
                </c:pt>
                <c:pt idx="531">
                  <c:v>2141.8688939890753</c:v>
                </c:pt>
                <c:pt idx="532">
                  <c:v>2142.1320743964789</c:v>
                </c:pt>
                <c:pt idx="533">
                  <c:v>2142.2967836426533</c:v>
                </c:pt>
                <c:pt idx="534">
                  <c:v>2142.3631619277116</c:v>
                </c:pt>
                <c:pt idx="535">
                  <c:v>2142.3313474591496</c:v>
                </c:pt>
                <c:pt idx="536">
                  <c:v>2142.2014772979314</c:v>
                </c:pt>
                <c:pt idx="537">
                  <c:v>2141.9736882049715</c:v>
                </c:pt>
                <c:pt idx="538">
                  <c:v>2141.6481174797218</c:v>
                </c:pt>
                <c:pt idx="539">
                  <c:v>2141.2249037826227</c:v>
                </c:pt>
                <c:pt idx="540">
                  <c:v>2140.7041879335679</c:v>
                </c:pt>
                <c:pt idx="541">
                  <c:v>2140.0861136792423</c:v>
                </c:pt>
                <c:pt idx="542">
                  <c:v>2139.3708284231539</c:v>
                </c:pt>
                <c:pt idx="543">
                  <c:v>2138.5584839133212</c:v>
                </c:pt>
                <c:pt idx="544">
                  <c:v>2137.6492368838085</c:v>
                </c:pt>
                <c:pt idx="545">
                  <c:v>2136.6432496475531</c:v>
                </c:pt>
                <c:pt idx="546">
                  <c:v>2135.5406906391067</c:v>
                </c:pt>
                <c:pt idx="547">
                  <c:v>2134.3417349070019</c:v>
                </c:pt>
                <c:pt idx="548">
                  <c:v>2133.0465645563636</c:v>
                </c:pt>
                <c:pt idx="549">
                  <c:v>2131.6553691431591</c:v>
                </c:pt>
                <c:pt idx="550">
                  <c:v>2130.1683460220479</c:v>
                </c:pt>
                <c:pt idx="551">
                  <c:v>2128.5857006502288</c:v>
                </c:pt>
                <c:pt idx="552">
                  <c:v>2126.9076468499461</c:v>
                </c:pt>
                <c:pt idx="553">
                  <c:v>2125.1344070324708</c:v>
                </c:pt>
                <c:pt idx="554">
                  <c:v>2123.2662123864152</c:v>
                </c:pt>
                <c:pt idx="555">
                  <c:v>2121.3033030332108</c:v>
                </c:pt>
                <c:pt idx="556">
                  <c:v>2119.2459281524789</c:v>
                </c:pt>
                <c:pt idx="557">
                  <c:v>2117.0943460798962</c:v>
                </c:pt>
                <c:pt idx="558">
                  <c:v>2114.8488243799916</c:v>
                </c:pt>
                <c:pt idx="559">
                  <c:v>2112.5096398961368</c:v>
                </c:pt>
                <c:pt idx="560">
                  <c:v>2110.0770787798115</c:v>
                </c:pt>
                <c:pt idx="561">
                  <c:v>2107.5514365010449</c:v>
                </c:pt>
                <c:pt idx="562">
                  <c:v>2104.9330178417645</c:v>
                </c:pt>
                <c:pt idx="563">
                  <c:v>2102.2221368736127</c:v>
                </c:pt>
                <c:pt idx="564">
                  <c:v>2099.419116921646</c:v>
                </c:pt>
                <c:pt idx="565">
                  <c:v>2096.524290515189</c:v>
                </c:pt>
                <c:pt idx="566">
                  <c:v>2093.5379993269858</c:v>
                </c:pt>
                <c:pt idx="567">
                  <c:v>2090.4605941016771</c:v>
                </c:pt>
                <c:pt idx="568">
                  <c:v>2087.2924345745323</c:v>
                </c:pt>
                <c:pt idx="569">
                  <c:v>2084.0338893812645</c:v>
                </c:pt>
                <c:pt idx="570">
                  <c:v>2080.6853359596807</c:v>
                </c:pt>
                <c:pt idx="571">
                  <c:v>2077.2471604438483</c:v>
                </c:pt>
                <c:pt idx="572">
                  <c:v>2073.7197575513856</c:v>
                </c:pt>
                <c:pt idx="573">
                  <c:v>2070.1035304644356</c:v>
                </c:pt>
                <c:pt idx="574">
                  <c:v>2066.398890704832</c:v>
                </c:pt>
                <c:pt idx="575">
                  <c:v>2062.6062580039134</c:v>
                </c:pt>
                <c:pt idx="576">
                  <c:v>2058.7260601674161</c:v>
                </c:pt>
                <c:pt idx="577">
                  <c:v>2054.7587329358275</c:v>
                </c:pt>
                <c:pt idx="578">
                  <c:v>2050.7047198405635</c:v>
                </c:pt>
                <c:pt idx="579">
                  <c:v>2046.5644720563018</c:v>
                </c:pt>
                <c:pt idx="580">
                  <c:v>2042.3384482497786</c:v>
                </c:pt>
                <c:pt idx="581">
                  <c:v>2038.0271144253359</c:v>
                </c:pt>
                <c:pt idx="582">
                  <c:v>2033.630943767492</c:v>
                </c:pt>
                <c:pt idx="583">
                  <c:v>2029.1504164807866</c:v>
                </c:pt>
                <c:pt idx="584">
                  <c:v>2024.5860196271387</c:v>
                </c:pt>
                <c:pt idx="585">
                  <c:v>2019.938246960945</c:v>
                </c:pt>
                <c:pt idx="586">
                  <c:v>2015.2075987621315</c:v>
                </c:pt>
                <c:pt idx="587">
                  <c:v>2010.3945816673638</c:v>
                </c:pt>
                <c:pt idx="588">
                  <c:v>2005.4997084996087</c:v>
                </c:pt>
                <c:pt idx="589">
                  <c:v>2000.5234980962339</c:v>
                </c:pt>
                <c:pt idx="590">
                  <c:v>1995.4664751358241</c:v>
                </c:pt>
                <c:pt idx="591">
                  <c:v>1990.3291699638842</c:v>
                </c:pt>
                <c:pt idx="592">
                  <c:v>1985.1121184175936</c:v>
                </c:pt>
                <c:pt idx="593">
                  <c:v>1979.8158616497713</c:v>
                </c:pt>
                <c:pt idx="594">
                  <c:v>1974.4409459522028</c:v>
                </c:pt>
                <c:pt idx="595">
                  <c:v>1968.9879225784773</c:v>
                </c:pt>
                <c:pt idx="596">
                  <c:v>1963.4573475664779</c:v>
                </c:pt>
                <c:pt idx="597">
                  <c:v>1957.8497815606615</c:v>
                </c:pt>
                <c:pt idx="598">
                  <c:v>1952.1657896342633</c:v>
                </c:pt>
                <c:pt idx="599">
                  <c:v>1946.4059411115534</c:v>
                </c:pt>
                <c:pt idx="600">
                  <c:v>1940.5708093902715</c:v>
                </c:pt>
                <c:pt idx="601">
                  <c:v>1934.6609717643603</c:v>
                </c:pt>
                <c:pt idx="602">
                  <c:v>1928.6770092471149</c:v>
                </c:pt>
                <c:pt idx="603">
                  <c:v>1922.6195063948624</c:v>
                </c:pt>
                <c:pt idx="604">
                  <c:v>1916.4890511312794</c:v>
                </c:pt>
                <c:pt idx="605">
                  <c:v>1910.2862345724573</c:v>
                </c:pt>
                <c:pt idx="606">
                  <c:v>1904.0116508528142</c:v>
                </c:pt>
                <c:pt idx="607">
                  <c:v>1897.6658969519569</c:v>
                </c:pt>
                <c:pt idx="608">
                  <c:v>1891.2495725225851</c:v>
                </c:pt>
                <c:pt idx="609">
                  <c:v>1884.7632797195338</c:v>
                </c:pt>
                <c:pt idx="610">
                  <c:v>1878.207623030042</c:v>
                </c:pt>
                <c:pt idx="611">
                  <c:v>1871.5832091053342</c:v>
                </c:pt>
                <c:pt idx="612">
                  <c:v>1864.890646593597</c:v>
                </c:pt>
                <c:pt idx="613">
                  <c:v>1858.1305459744324</c:v>
                </c:pt>
                <c:pt idx="614">
                  <c:v>1851.3035193948631</c:v>
                </c:pt>
                <c:pt idx="615">
                  <c:v>1844.4101805069636</c:v>
                </c:pt>
                <c:pt idx="616">
                  <c:v>1837.4511443071888</c:v>
                </c:pt>
                <c:pt idx="617">
                  <c:v>1830.4270269774661</c:v>
                </c:pt>
                <c:pt idx="618">
                  <c:v>1823.3384457281165</c:v>
                </c:pt>
                <c:pt idx="619">
                  <c:v>1816.1860186426659</c:v>
                </c:pt>
                <c:pt idx="620">
                  <c:v>1808.9703645246043</c:v>
                </c:pt>
                <c:pt idx="621">
                  <c:v>1801.6921027461503</c:v>
                </c:pt>
                <c:pt idx="622">
                  <c:v>1794.3518530990718</c:v>
                </c:pt>
                <c:pt idx="623">
                  <c:v>1786.9502356476132</c:v>
                </c:pt>
                <c:pt idx="624">
                  <c:v>1779.4878705835763</c:v>
                </c:pt>
                <c:pt idx="625">
                  <c:v>1771.9653780835988</c:v>
                </c:pt>
                <c:pt idx="626">
                  <c:v>1764.3833781686719</c:v>
                </c:pt>
                <c:pt idx="627">
                  <c:v>1756.7424905659348</c:v>
                </c:pt>
                <c:pt idx="628">
                  <c:v>1749.0433345727824</c:v>
                </c:pt>
                <c:pt idx="629">
                  <c:v>1741.2865289233214</c:v>
                </c:pt>
                <c:pt idx="630">
                  <c:v>1733.4726916572004</c:v>
                </c:pt>
                <c:pt idx="631">
                  <c:v>1725.6024399908474</c:v>
                </c:pt>
                <c:pt idx="632">
                  <c:v>1717.6763901911377</c:v>
                </c:pt>
                <c:pt idx="633">
                  <c:v>1709.695157451514</c:v>
                </c:pt>
                <c:pt idx="634">
                  <c:v>1701.6593557705817</c:v>
                </c:pt>
                <c:pt idx="635">
                  <c:v>1693.5695978331958</c:v>
                </c:pt>
                <c:pt idx="636">
                  <c:v>1685.4264948940558</c:v>
                </c:pt>
                <c:pt idx="637">
                  <c:v>1677.2306566638226</c:v>
                </c:pt>
                <c:pt idx="638">
                  <c:v>1668.9826911977666</c:v>
                </c:pt>
                <c:pt idx="639">
                  <c:v>1660.6832047869586</c:v>
                </c:pt>
                <c:pt idx="640">
                  <c:v>1652.332801852009</c:v>
                </c:pt>
                <c:pt idx="641">
                  <c:v>1643.9320848393602</c:v>
                </c:pt>
                <c:pt idx="642">
                  <c:v>1635.4816541201349</c:v>
                </c:pt>
                <c:pt idx="643">
                  <c:v>1626.9821078915415</c:v>
                </c:pt>
                <c:pt idx="644">
                  <c:v>1618.4340420808355</c:v>
                </c:pt>
                <c:pt idx="645">
                  <c:v>1609.8380502518323</c:v>
                </c:pt>
                <c:pt idx="646">
                  <c:v>1601.1947235139701</c:v>
                </c:pt>
                <c:pt idx="647">
                  <c:v>1592.5046504339118</c:v>
                </c:pt>
                <c:pt idx="648">
                  <c:v>1583.7684169496818</c:v>
                </c:pt>
                <c:pt idx="649">
                  <c:v>1574.986606287325</c:v>
                </c:pt>
                <c:pt idx="650">
                  <c:v>1566.1597988800772</c:v>
                </c:pt>
                <c:pt idx="651">
                  <c:v>1557.2885722900353</c:v>
                </c:pt>
                <c:pt idx="652">
                  <c:v>1548.3735011323104</c:v>
                </c:pt>
                <c:pt idx="653">
                  <c:v>1539.4151570016497</c:v>
                </c:pt>
                <c:pt idx="654">
                  <c:v>1530.4141084015093</c:v>
                </c:pt>
                <c:pt idx="655">
                  <c:v>1521.37092067556</c:v>
                </c:pt>
                <c:pt idx="656">
                  <c:v>1512.2861559416044</c:v>
                </c:pt>
                <c:pt idx="657">
                  <c:v>1503.1603730278871</c:v>
                </c:pt>
                <c:pt idx="658">
                  <c:v>1493.9941274117734</c:v>
                </c:pt>
                <c:pt idx="659">
                  <c:v>1484.787971160775</c:v>
                </c:pt>
                <c:pt idx="660">
                  <c:v>1475.5424528758977</c:v>
                </c:pt>
                <c:pt idx="661">
                  <c:v>1466.2581176372853</c:v>
                </c:pt>
                <c:pt idx="662">
                  <c:v>1456.9355069521355</c:v>
                </c:pt>
                <c:pt idx="663">
                  <c:v>1447.5751587048585</c:v>
                </c:pt>
                <c:pt idx="664">
                  <c:v>1438.177607109453</c:v>
                </c:pt>
                <c:pt idx="665">
                  <c:v>1428.7433826640683</c:v>
                </c:pt>
                <c:pt idx="666">
                  <c:v>1419.2730121077252</c:v>
                </c:pt>
                <c:pt idx="667">
                  <c:v>1409.7670183791652</c:v>
                </c:pt>
                <c:pt idx="668">
                  <c:v>1400.2259205777978</c:v>
                </c:pt>
                <c:pt idx="669">
                  <c:v>1390.6502339267138</c:v>
                </c:pt>
                <c:pt idx="670">
                  <c:v>1381.0404697377337</c:v>
                </c:pt>
                <c:pt idx="671">
                  <c:v>1371.3971353784589</c:v>
                </c:pt>
                <c:pt idx="672">
                  <c:v>1361.7207342412928</c:v>
                </c:pt>
                <c:pt idx="673">
                  <c:v>1352.0117657144003</c:v>
                </c:pt>
                <c:pt idx="674">
                  <c:v>1342.2707251545694</c:v>
                </c:pt>
                <c:pt idx="675">
                  <c:v>1332.4981038619442</c:v>
                </c:pt>
                <c:pt idx="676">
                  <c:v>1322.6943890565935</c:v>
                </c:pt>
                <c:pt idx="677">
                  <c:v>1312.8600638568828</c:v>
                </c:pt>
                <c:pt idx="678">
                  <c:v>1302.9956072596119</c:v>
                </c:pt>
                <c:pt idx="679">
                  <c:v>1293.1014941218875</c:v>
                </c:pt>
                <c:pt idx="680">
                  <c:v>1283.1781951446935</c:v>
                </c:pt>
                <c:pt idx="681">
                  <c:v>1273.2261768581252</c:v>
                </c:pt>
                <c:pt idx="682">
                  <c:v>1263.2459016082523</c:v>
                </c:pt>
                <c:pt idx="683">
                  <c:v>1253.2378275455762</c:v>
                </c:pt>
                <c:pt idx="684">
                  <c:v>1243.2024086150461</c:v>
                </c:pt>
                <c:pt idx="685">
                  <c:v>1233.1400945475993</c:v>
                </c:pt>
                <c:pt idx="686">
                  <c:v>1223.0513308531922</c:v>
                </c:pt>
                <c:pt idx="687">
                  <c:v>1212.9365588152843</c:v>
                </c:pt>
                <c:pt idx="688">
                  <c:v>1202.7962154867434</c:v>
                </c:pt>
                <c:pt idx="689">
                  <c:v>1192.6307336871371</c:v>
                </c:pt>
                <c:pt idx="690">
                  <c:v>1182.4405420013738</c:v>
                </c:pt>
                <c:pt idx="691">
                  <c:v>1172.2260647796636</c:v>
                </c:pt>
                <c:pt idx="692">
                  <c:v>1161.9877221387596</c:v>
                </c:pt>
                <c:pt idx="693">
                  <c:v>1151.7259299644516</c:v>
                </c:pt>
                <c:pt idx="694">
                  <c:v>1141.4410999152735</c:v>
                </c:pt>
                <c:pt idx="695">
                  <c:v>1131.1336394273956</c:v>
                </c:pt>
                <c:pt idx="696">
                  <c:v>1120.8039517206648</c:v>
                </c:pt>
                <c:pt idx="697">
                  <c:v>1110.4524358057643</c:v>
                </c:pt>
                <c:pt idx="698">
                  <c:v>1100.079486492456</c:v>
                </c:pt>
                <c:pt idx="699">
                  <c:v>1089.6854943988781</c:v>
                </c:pt>
                <c:pt idx="700">
                  <c:v>1079.2708459618616</c:v>
                </c:pt>
                <c:pt idx="701">
                  <c:v>1068.8359234482386</c:v>
                </c:pt>
                <c:pt idx="702">
                  <c:v>1058.3811049671087</c:v>
                </c:pt>
                <c:pt idx="703">
                  <c:v>1047.9067644830336</c:v>
                </c:pt>
                <c:pt idx="704">
                  <c:v>1037.41327183013</c:v>
                </c:pt>
                <c:pt idx="705">
                  <c:v>1026.9009927270313</c:v>
                </c:pt>
                <c:pt idx="706">
                  <c:v>1016.370288792687</c:v>
                </c:pt>
                <c:pt idx="707">
                  <c:v>1005.8215175629738</c:v>
                </c:pt>
                <c:pt idx="708">
                  <c:v>995.25503250808617</c:v>
                </c:pt>
                <c:pt idx="709">
                  <c:v>984.67118305068152</c:v>
                </c:pt>
                <c:pt idx="710">
                  <c:v>974.07031458475001</c:v>
                </c:pt>
                <c:pt idx="711">
                  <c:v>963.45276849518302</c:v>
                </c:pt>
                <c:pt idx="712">
                  <c:v>952.81888217801281</c:v>
                </c:pt>
                <c:pt idx="713">
                  <c:v>942.16898906129722</c:v>
                </c:pt>
                <c:pt idx="714">
                  <c:v>931.50341862662356</c:v>
                </c:pt>
                <c:pt idx="715">
                  <c:v>920.82249643120599</c:v>
                </c:pt>
                <c:pt idx="716">
                  <c:v>910.12654413055157</c:v>
                </c:pt>
                <c:pt idx="717">
                  <c:v>899.41587950167013</c:v>
                </c:pt>
                <c:pt idx="718">
                  <c:v>888.69081646680468</c:v>
                </c:pt>
                <c:pt idx="719">
                  <c:v>877.95166511765751</c:v>
                </c:pt>
                <c:pt idx="720">
                  <c:v>867.19873174009001</c:v>
                </c:pt>
                <c:pt idx="721">
                  <c:v>856.4323188392724</c:v>
                </c:pt>
                <c:pt idx="722">
                  <c:v>845.65272516526238</c:v>
                </c:pt>
                <c:pt idx="723">
                  <c:v>834.86024573898987</c:v>
                </c:pt>
                <c:pt idx="724">
                  <c:v>824.05517187862711</c:v>
                </c:pt>
                <c:pt idx="725">
                  <c:v>813.23779122632288</c:v>
                </c:pt>
                <c:pt idx="726">
                  <c:v>802.40838777528097</c:v>
                </c:pt>
                <c:pt idx="727">
                  <c:v>791.56724189716272</c:v>
                </c:pt>
                <c:pt idx="728">
                  <c:v>780.71463036979389</c:v>
                </c:pt>
                <c:pt idx="729">
                  <c:v>769.85082640515725</c:v>
                </c:pt>
                <c:pt idx="730">
                  <c:v>758.97609967765197</c:v>
                </c:pt>
                <c:pt idx="731">
                  <c:v>748.0907163526025</c:v>
                </c:pt>
                <c:pt idx="732">
                  <c:v>737.19493911499774</c:v>
                </c:pt>
                <c:pt idx="733">
                  <c:v>726.28902719844496</c:v>
                </c:pt>
                <c:pt idx="734">
                  <c:v>715.37323641432044</c:v>
                </c:pt>
                <c:pt idx="735">
                  <c:v>704.44781918110107</c:v>
                </c:pt>
                <c:pt idx="736">
                  <c:v>693.51302455386065</c:v>
                </c:pt>
                <c:pt idx="737">
                  <c:v>682.56909825391585</c:v>
                </c:pt>
                <c:pt idx="738">
                  <c:v>671.61628269860569</c:v>
                </c:pt>
                <c:pt idx="739">
                  <c:v>660.65481703119121</c:v>
                </c:pt>
                <c:pt idx="740">
                  <c:v>649.68493715086026</c:v>
                </c:pt>
                <c:pt idx="741">
                  <c:v>638.70687574282306</c:v>
                </c:pt>
                <c:pt idx="742">
                  <c:v>627.7208623084864</c:v>
                </c:pt>
                <c:pt idx="743">
                  <c:v>616.72712319569177</c:v>
                </c:pt>
                <c:pt idx="744">
                  <c:v>605.72588162900615</c:v>
                </c:pt>
                <c:pt idx="745">
                  <c:v>594.71735774005231</c:v>
                </c:pt>
                <c:pt idx="746">
                  <c:v>583.70176859786648</c:v>
                </c:pt>
                <c:pt idx="747">
                  <c:v>572.67932823927288</c:v>
                </c:pt>
                <c:pt idx="748">
                  <c:v>561.6502476992622</c:v>
                </c:pt>
                <c:pt idx="749">
                  <c:v>550.61473504136495</c:v>
                </c:pt>
                <c:pt idx="750">
                  <c:v>539.57299538800794</c:v>
                </c:pt>
                <c:pt idx="751">
                  <c:v>528.52523095084382</c:v>
                </c:pt>
                <c:pt idx="752">
                  <c:v>517.47164106104481</c:v>
                </c:pt>
                <c:pt idx="753">
                  <c:v>506.41242219954938</c:v>
                </c:pt>
                <c:pt idx="754">
                  <c:v>495.34776802725486</c:v>
                </c:pt>
                <c:pt idx="755">
                  <c:v>484.27786941514501</c:v>
                </c:pt>
                <c:pt idx="756">
                  <c:v>473.20291447434539</c:v>
                </c:pt>
                <c:pt idx="757">
                  <c:v>462.12308858609782</c:v>
                </c:pt>
                <c:pt idx="758">
                  <c:v>451.03857443164594</c:v>
                </c:pt>
                <c:pt idx="759">
                  <c:v>439.94955202202442</c:v>
                </c:pt>
                <c:pt idx="760">
                  <c:v>428.85619872774407</c:v>
                </c:pt>
                <c:pt idx="761">
                  <c:v>417.75868930836646</c:v>
                </c:pt>
                <c:pt idx="762">
                  <c:v>406.65719594196048</c:v>
                </c:pt>
                <c:pt idx="763">
                  <c:v>395.5518882544348</c:v>
                </c:pt>
                <c:pt idx="764">
                  <c:v>384.44293334874004</c:v>
                </c:pt>
                <c:pt idx="765">
                  <c:v>373.33049583393421</c:v>
                </c:pt>
                <c:pt idx="766">
                  <c:v>362.21473785410598</c:v>
                </c:pt>
                <c:pt idx="767">
                  <c:v>351.09581911715037</c:v>
                </c:pt>
                <c:pt idx="768">
                  <c:v>339.97389692339129</c:v>
                </c:pt>
                <c:pt idx="769">
                  <c:v>328.84912619404622</c:v>
                </c:pt>
                <c:pt idx="770">
                  <c:v>317.72165949952807</c:v>
                </c:pt>
                <c:pt idx="771">
                  <c:v>306.5916470875797</c:v>
                </c:pt>
                <c:pt idx="772">
                  <c:v>295.45923691123659</c:v>
                </c:pt>
                <c:pt idx="773">
                  <c:v>284.32457465661412</c:v>
                </c:pt>
                <c:pt idx="774">
                  <c:v>273.18780377051456</c:v>
                </c:pt>
                <c:pt idx="775">
                  <c:v>262.04906548785118</c:v>
                </c:pt>
                <c:pt idx="776">
                  <c:v>250.90849885888483</c:v>
                </c:pt>
                <c:pt idx="777">
                  <c:v>239.76624077627068</c:v>
                </c:pt>
                <c:pt idx="778">
                  <c:v>228.62242600191129</c:v>
                </c:pt>
                <c:pt idx="779">
                  <c:v>217.47718719361336</c:v>
                </c:pt>
                <c:pt idx="780">
                  <c:v>206.3306549315453</c:v>
                </c:pt>
                <c:pt idx="781">
                  <c:v>195.18295774449305</c:v>
                </c:pt>
                <c:pt idx="782">
                  <c:v>184.03422213591168</c:v>
                </c:pt>
                <c:pt idx="783">
                  <c:v>172.88457260977054</c:v>
                </c:pt>
                <c:pt idx="784">
                  <c:v>161.73413169618982</c:v>
                </c:pt>
                <c:pt idx="785">
                  <c:v>150.58301997686652</c:v>
                </c:pt>
                <c:pt idx="786">
                  <c:v>139.43135611028811</c:v>
                </c:pt>
                <c:pt idx="787">
                  <c:v>128.27925685673213</c:v>
                </c:pt>
                <c:pt idx="788">
                  <c:v>117.12683710305035</c:v>
                </c:pt>
                <c:pt idx="789">
                  <c:v>105.97420988723582</c:v>
                </c:pt>
                <c:pt idx="790">
                  <c:v>94.821486422771898</c:v>
                </c:pt>
                <c:pt idx="791">
                  <c:v>83.668776122761912</c:v>
                </c:pt>
                <c:pt idx="792">
                  <c:v>72.51618662383845</c:v>
                </c:pt>
                <c:pt idx="793">
                  <c:v>61.363823809851567</c:v>
                </c:pt>
                <c:pt idx="794">
                  <c:v>50.211791835334935</c:v>
                </c:pt>
                <c:pt idx="795">
                  <c:v>39.060193148749448</c:v>
                </c:pt>
                <c:pt idx="796">
                  <c:v>27.909128515503639</c:v>
                </c:pt>
                <c:pt idx="797">
                  <c:v>16.758697040750533</c:v>
                </c:pt>
                <c:pt idx="798">
                  <c:v>5.6089961919605429</c:v>
                </c:pt>
                <c:pt idx="799">
                  <c:v>-5.5398781787297828</c:v>
                </c:pt>
                <c:pt idx="800">
                  <c:v>-5.5510266156151804</c:v>
                </c:pt>
                <c:pt idx="801">
                  <c:v>-5.5621750515330612</c:v>
                </c:pt>
                <c:pt idx="802">
                  <c:v>-5.5733234864833339</c:v>
                </c:pt>
                <c:pt idx="803">
                  <c:v>-5.5844719204659059</c:v>
                </c:pt>
                <c:pt idx="804">
                  <c:v>-5.595620353480685</c:v>
                </c:pt>
                <c:pt idx="805">
                  <c:v>-5.6067687855275796</c:v>
                </c:pt>
                <c:pt idx="806">
                  <c:v>-5.6179172166064983</c:v>
                </c:pt>
                <c:pt idx="807">
                  <c:v>-5.6290656467173488</c:v>
                </c:pt>
                <c:pt idx="808">
                  <c:v>-5.6402140758600394</c:v>
                </c:pt>
                <c:pt idx="809">
                  <c:v>-5.6513625040344788</c:v>
                </c:pt>
                <c:pt idx="810">
                  <c:v>-5.6625109312405746</c:v>
                </c:pt>
                <c:pt idx="811">
                  <c:v>-5.6736593574782344</c:v>
                </c:pt>
                <c:pt idx="812">
                  <c:v>-5.6848077827473666</c:v>
                </c:pt>
                <c:pt idx="813">
                  <c:v>-5.69595620704788</c:v>
                </c:pt>
                <c:pt idx="814">
                  <c:v>-5.7071046303796829</c:v>
                </c:pt>
                <c:pt idx="815">
                  <c:v>-5.7182530527426829</c:v>
                </c:pt>
                <c:pt idx="816">
                  <c:v>-5.7294014741367878</c:v>
                </c:pt>
                <c:pt idx="817">
                  <c:v>-5.740549894561906</c:v>
                </c:pt>
                <c:pt idx="818">
                  <c:v>-5.7516983140179461</c:v>
                </c:pt>
                <c:pt idx="819">
                  <c:v>-5.7628467325048165</c:v>
                </c:pt>
                <c:pt idx="820">
                  <c:v>-5.7739951500224249</c:v>
                </c:pt>
                <c:pt idx="821">
                  <c:v>-5.785143566570679</c:v>
                </c:pt>
                <c:pt idx="822">
                  <c:v>-5.7962919821494872</c:v>
                </c:pt>
                <c:pt idx="823">
                  <c:v>-5.807440396758758</c:v>
                </c:pt>
                <c:pt idx="824">
                  <c:v>-5.8185888103984</c:v>
                </c:pt>
                <c:pt idx="825">
                  <c:v>-5.8297372230683209</c:v>
                </c:pt>
                <c:pt idx="826">
                  <c:v>-5.8408856347684281</c:v>
                </c:pt>
                <c:pt idx="827">
                  <c:v>-5.8520340454986304</c:v>
                </c:pt>
                <c:pt idx="828">
                  <c:v>-5.8631824552588361</c:v>
                </c:pt>
                <c:pt idx="829">
                  <c:v>-5.8743308640489538</c:v>
                </c:pt>
                <c:pt idx="830">
                  <c:v>-5.8854792718688911</c:v>
                </c:pt>
                <c:pt idx="831">
                  <c:v>-5.8966276787185565</c:v>
                </c:pt>
                <c:pt idx="832">
                  <c:v>-5.9077760845978577</c:v>
                </c:pt>
                <c:pt idx="833">
                  <c:v>-5.9189244895067032</c:v>
                </c:pt>
                <c:pt idx="834">
                  <c:v>-5.9300728934450015</c:v>
                </c:pt>
                <c:pt idx="835">
                  <c:v>-5.9412212964126603</c:v>
                </c:pt>
                <c:pt idx="836">
                  <c:v>-5.952369698409588</c:v>
                </c:pt>
                <c:pt idx="837">
                  <c:v>-5.9635180994356922</c:v>
                </c:pt>
                <c:pt idx="838">
                  <c:v>-5.9746664994908816</c:v>
                </c:pt>
                <c:pt idx="839">
                  <c:v>-5.9858148985750645</c:v>
                </c:pt>
                <c:pt idx="840">
                  <c:v>-5.9969632966881488</c:v>
                </c:pt>
                <c:pt idx="841">
                  <c:v>-6.0081116938300427</c:v>
                </c:pt>
                <c:pt idx="842">
                  <c:v>-6.019260090000655</c:v>
                </c:pt>
                <c:pt idx="843">
                  <c:v>-6.0304084851998931</c:v>
                </c:pt>
                <c:pt idx="844">
                  <c:v>-6.0415568794276657</c:v>
                </c:pt>
                <c:pt idx="845">
                  <c:v>-6.0527052726838813</c:v>
                </c:pt>
                <c:pt idx="846">
                  <c:v>-6.0638536649684474</c:v>
                </c:pt>
                <c:pt idx="847">
                  <c:v>-6.0750020562812725</c:v>
                </c:pt>
                <c:pt idx="848">
                  <c:v>-6.0861504466222645</c:v>
                </c:pt>
                <c:pt idx="849">
                  <c:v>-6.0972988359913325</c:v>
                </c:pt>
                <c:pt idx="850">
                  <c:v>-6.1084472243883843</c:v>
                </c:pt>
                <c:pt idx="851">
                  <c:v>-6.1195956118133275</c:v>
                </c:pt>
                <c:pt idx="852">
                  <c:v>-6.1307439982660705</c:v>
                </c:pt>
                <c:pt idx="853">
                  <c:v>-6.141892383746522</c:v>
                </c:pt>
                <c:pt idx="854">
                  <c:v>-6.1530407682545896</c:v>
                </c:pt>
                <c:pt idx="855">
                  <c:v>-6.1641891517901826</c:v>
                </c:pt>
                <c:pt idx="856">
                  <c:v>-6.1753375343532078</c:v>
                </c:pt>
                <c:pt idx="857">
                  <c:v>-6.1864859159435746</c:v>
                </c:pt>
                <c:pt idx="858">
                  <c:v>-6.1976342965611906</c:v>
                </c:pt>
                <c:pt idx="859">
                  <c:v>-6.2087826762059644</c:v>
                </c:pt>
                <c:pt idx="860">
                  <c:v>-6.2199310548778035</c:v>
                </c:pt>
                <c:pt idx="861">
                  <c:v>-6.2310794325766166</c:v>
                </c:pt>
                <c:pt idx="862">
                  <c:v>-6.242227809302312</c:v>
                </c:pt>
                <c:pt idx="863">
                  <c:v>-6.2533761850547984</c:v>
                </c:pt>
                <c:pt idx="864">
                  <c:v>-6.2645245598339834</c:v>
                </c:pt>
                <c:pt idx="865">
                  <c:v>-6.2756729336397754</c:v>
                </c:pt>
                <c:pt idx="866">
                  <c:v>-6.2868213064720821</c:v>
                </c:pt>
                <c:pt idx="867">
                  <c:v>-6.297969678330813</c:v>
                </c:pt>
                <c:pt idx="868">
                  <c:v>-6.3091180492158747</c:v>
                </c:pt>
                <c:pt idx="869">
                  <c:v>-6.3202664191271767</c:v>
                </c:pt>
                <c:pt idx="870">
                  <c:v>-6.3314147880646265</c:v>
                </c:pt>
                <c:pt idx="871">
                  <c:v>-6.3425631560281328</c:v>
                </c:pt>
                <c:pt idx="872">
                  <c:v>-6.353711523017604</c:v>
                </c:pt>
                <c:pt idx="873">
                  <c:v>-6.3648598890329477</c:v>
                </c:pt>
                <c:pt idx="874">
                  <c:v>-6.3760082540740726</c:v>
                </c:pt>
                <c:pt idx="875">
                  <c:v>-6.387156618140887</c:v>
                </c:pt>
                <c:pt idx="876">
                  <c:v>-6.3983049812332986</c:v>
                </c:pt>
                <c:pt idx="877">
                  <c:v>-6.4094533433512169</c:v>
                </c:pt>
                <c:pt idx="878">
                  <c:v>-6.4206017044945485</c:v>
                </c:pt>
                <c:pt idx="879">
                  <c:v>-6.4317500646632029</c:v>
                </c:pt>
                <c:pt idx="880">
                  <c:v>-6.4428984238570877</c:v>
                </c:pt>
                <c:pt idx="881">
                  <c:v>-6.4540467820761114</c:v>
                </c:pt>
                <c:pt idx="882">
                  <c:v>-6.4651951393201825</c:v>
                </c:pt>
                <c:pt idx="883">
                  <c:v>-6.4763434955892087</c:v>
                </c:pt>
                <c:pt idx="884">
                  <c:v>-6.4874918508830985</c:v>
                </c:pt>
                <c:pt idx="885">
                  <c:v>-6.4986402052017604</c:v>
                </c:pt>
                <c:pt idx="886">
                  <c:v>-6.509788558545103</c:v>
                </c:pt>
                <c:pt idx="887">
                  <c:v>-6.5209369109130337</c:v>
                </c:pt>
                <c:pt idx="888">
                  <c:v>-6.5320852623054613</c:v>
                </c:pt>
                <c:pt idx="889">
                  <c:v>-6.5432336127222941</c:v>
                </c:pt>
                <c:pt idx="890">
                  <c:v>-6.5543819621634398</c:v>
                </c:pt>
                <c:pt idx="891">
                  <c:v>-6.565530310628807</c:v>
                </c:pt>
                <c:pt idx="892">
                  <c:v>-6.5766786581183041</c:v>
                </c:pt>
                <c:pt idx="893">
                  <c:v>-6.5878270046318397</c:v>
                </c:pt>
                <c:pt idx="894">
                  <c:v>-6.5989753501693214</c:v>
                </c:pt>
                <c:pt idx="895">
                  <c:v>-6.6101236947306576</c:v>
                </c:pt>
                <c:pt idx="896">
                  <c:v>-6.6212720383157571</c:v>
                </c:pt>
                <c:pt idx="897">
                  <c:v>-6.6324203809245272</c:v>
                </c:pt>
                <c:pt idx="898">
                  <c:v>-6.6435687225568767</c:v>
                </c:pt>
                <c:pt idx="899">
                  <c:v>-6.6547170632127139</c:v>
                </c:pt>
                <c:pt idx="900">
                  <c:v>-6.6658654028919475</c:v>
                </c:pt>
                <c:pt idx="901">
                  <c:v>-6.6770137415944859</c:v>
                </c:pt>
                <c:pt idx="902">
                  <c:v>-6.6881620793202368</c:v>
                </c:pt>
                <c:pt idx="903">
                  <c:v>-6.6993104160691086</c:v>
                </c:pt>
                <c:pt idx="904">
                  <c:v>-6.710458751841009</c:v>
                </c:pt>
                <c:pt idx="905">
                  <c:v>-6.7216070866358475</c:v>
                </c:pt>
                <c:pt idx="906">
                  <c:v>-6.7327554204535316</c:v>
                </c:pt>
                <c:pt idx="907">
                  <c:v>-6.7439037532939698</c:v>
                </c:pt>
                <c:pt idx="908">
                  <c:v>-6.7550520851570708</c:v>
                </c:pt>
                <c:pt idx="909">
                  <c:v>-6.766200416042742</c:v>
                </c:pt>
                <c:pt idx="910">
                  <c:v>-6.7773487459508921</c:v>
                </c:pt>
                <c:pt idx="911">
                  <c:v>-6.7884970748814295</c:v>
                </c:pt>
                <c:pt idx="912">
                  <c:v>-6.7996454028342628</c:v>
                </c:pt>
                <c:pt idx="913">
                  <c:v>-6.8107937298093004</c:v>
                </c:pt>
                <c:pt idx="914">
                  <c:v>-6.8219420558064501</c:v>
                </c:pt>
                <c:pt idx="915">
                  <c:v>-6.8330903808256203</c:v>
                </c:pt>
                <c:pt idx="916">
                  <c:v>-6.8442387048667195</c:v>
                </c:pt>
                <c:pt idx="917">
                  <c:v>-6.8553870279296554</c:v>
                </c:pt>
                <c:pt idx="918">
                  <c:v>-6.8665353500143373</c:v>
                </c:pt>
                <c:pt idx="919">
                  <c:v>-6.877683671120673</c:v>
                </c:pt>
                <c:pt idx="920">
                  <c:v>-6.8888319912485709</c:v>
                </c:pt>
                <c:pt idx="921">
                  <c:v>-6.8999803103979387</c:v>
                </c:pt>
                <c:pt idx="922">
                  <c:v>-6.9111286285686857</c:v>
                </c:pt>
                <c:pt idx="923">
                  <c:v>-6.9222769457607196</c:v>
                </c:pt>
                <c:pt idx="924">
                  <c:v>-6.9334252619739489</c:v>
                </c:pt>
                <c:pt idx="925">
                  <c:v>-6.9445735772082822</c:v>
                </c:pt>
                <c:pt idx="926">
                  <c:v>-6.955721891463627</c:v>
                </c:pt>
                <c:pt idx="927">
                  <c:v>-6.9668702047398927</c:v>
                </c:pt>
                <c:pt idx="928">
                  <c:v>-6.9780185170369871</c:v>
                </c:pt>
                <c:pt idx="929">
                  <c:v>-6.9891668283548185</c:v>
                </c:pt>
                <c:pt idx="930">
                  <c:v>-7.0003151386932947</c:v>
                </c:pt>
                <c:pt idx="931">
                  <c:v>-7.011463448052325</c:v>
                </c:pt>
                <c:pt idx="932">
                  <c:v>-7.0226117564318171</c:v>
                </c:pt>
                <c:pt idx="933">
                  <c:v>-7.0337600638316795</c:v>
                </c:pt>
                <c:pt idx="934">
                  <c:v>-7.0449083702518207</c:v>
                </c:pt>
                <c:pt idx="935">
                  <c:v>-7.0560566756921492</c:v>
                </c:pt>
                <c:pt idx="936">
                  <c:v>-7.0672049801525736</c:v>
                </c:pt>
                <c:pt idx="937">
                  <c:v>-7.0783532836330014</c:v>
                </c:pt>
                <c:pt idx="938">
                  <c:v>-7.0895015861333412</c:v>
                </c:pt>
                <c:pt idx="939">
                  <c:v>-7.1006498876535016</c:v>
                </c:pt>
                <c:pt idx="940">
                  <c:v>-7.1117981881933909</c:v>
                </c:pt>
                <c:pt idx="941">
                  <c:v>-7.1229464877529169</c:v>
                </c:pt>
                <c:pt idx="942">
                  <c:v>-7.134094786331989</c:v>
                </c:pt>
                <c:pt idx="943">
                  <c:v>-7.1452430839305148</c:v>
                </c:pt>
                <c:pt idx="944">
                  <c:v>-7.1563913805484027</c:v>
                </c:pt>
                <c:pt idx="945">
                  <c:v>-7.1675396761855614</c:v>
                </c:pt>
                <c:pt idx="946">
                  <c:v>-7.1786879708418985</c:v>
                </c:pt>
                <c:pt idx="947">
                  <c:v>-7.1898362645173233</c:v>
                </c:pt>
                <c:pt idx="948">
                  <c:v>-7.2009845572117435</c:v>
                </c:pt>
                <c:pt idx="949">
                  <c:v>-7.2121328489250676</c:v>
                </c:pt>
                <c:pt idx="950">
                  <c:v>-7.2232811396572041</c:v>
                </c:pt>
                <c:pt idx="951">
                  <c:v>-7.2344294294080616</c:v>
                </c:pt>
                <c:pt idx="952">
                  <c:v>-7.2455777181775476</c:v>
                </c:pt>
                <c:pt idx="953">
                  <c:v>-7.2567260059655716</c:v>
                </c:pt>
                <c:pt idx="954">
                  <c:v>-7.2678742927720412</c:v>
                </c:pt>
                <c:pt idx="955">
                  <c:v>-7.279022578596865</c:v>
                </c:pt>
                <c:pt idx="956">
                  <c:v>-7.2901708634399514</c:v>
                </c:pt>
                <c:pt idx="957">
                  <c:v>-7.3013191473012089</c:v>
                </c:pt>
                <c:pt idx="958">
                  <c:v>-7.3124674301805452</c:v>
                </c:pt>
                <c:pt idx="959">
                  <c:v>-7.3236157120778698</c:v>
                </c:pt>
                <c:pt idx="960">
                  <c:v>-7.3347639929930901</c:v>
                </c:pt>
                <c:pt idx="961">
                  <c:v>-7.3459122729261148</c:v>
                </c:pt>
                <c:pt idx="962">
                  <c:v>-7.3570605518768524</c:v>
                </c:pt>
                <c:pt idx="963">
                  <c:v>-7.3682088298452113</c:v>
                </c:pt>
                <c:pt idx="964">
                  <c:v>-7.3793571068310992</c:v>
                </c:pt>
                <c:pt idx="965">
                  <c:v>-7.3905053828344256</c:v>
                </c:pt>
                <c:pt idx="966">
                  <c:v>-7.401653657855098</c:v>
                </c:pt>
                <c:pt idx="967">
                  <c:v>-7.4128019318930258</c:v>
                </c:pt>
                <c:pt idx="968">
                  <c:v>-7.4239502049481167</c:v>
                </c:pt>
                <c:pt idx="969">
                  <c:v>-7.4350984770202793</c:v>
                </c:pt>
                <c:pt idx="970">
                  <c:v>-7.446246748109421</c:v>
                </c:pt>
                <c:pt idx="971">
                  <c:v>-7.4573950182154514</c:v>
                </c:pt>
                <c:pt idx="972">
                  <c:v>-7.4685432873382789</c:v>
                </c:pt>
                <c:pt idx="973">
                  <c:v>-7.4796915554778112</c:v>
                </c:pt>
                <c:pt idx="974">
                  <c:v>-7.4908398226339568</c:v>
                </c:pt>
                <c:pt idx="975">
                  <c:v>-7.5019880888066242</c:v>
                </c:pt>
                <c:pt idx="976">
                  <c:v>-7.5131363539957219</c:v>
                </c:pt>
                <c:pt idx="977">
                  <c:v>-7.5242846182011585</c:v>
                </c:pt>
                <c:pt idx="978">
                  <c:v>-7.5354328814228424</c:v>
                </c:pt>
                <c:pt idx="979">
                  <c:v>-7.5465811436606822</c:v>
                </c:pt>
                <c:pt idx="980">
                  <c:v>-7.5577294049145856</c:v>
                </c:pt>
                <c:pt idx="981">
                  <c:v>-7.5688776651844618</c:v>
                </c:pt>
                <c:pt idx="982">
                  <c:v>-7.5800259244702186</c:v>
                </c:pt>
                <c:pt idx="983">
                  <c:v>-7.5911741827717645</c:v>
                </c:pt>
                <c:pt idx="984">
                  <c:v>-7.6023224400890079</c:v>
                </c:pt>
                <c:pt idx="985">
                  <c:v>-7.6134706964218575</c:v>
                </c:pt>
                <c:pt idx="986">
                  <c:v>-7.6246189517702216</c:v>
                </c:pt>
                <c:pt idx="987">
                  <c:v>-7.6357672061340081</c:v>
                </c:pt>
                <c:pt idx="988">
                  <c:v>-7.6469154595131261</c:v>
                </c:pt>
                <c:pt idx="989">
                  <c:v>-7.6580637119074844</c:v>
                </c:pt>
                <c:pt idx="990">
                  <c:v>-7.6692119633169904</c:v>
                </c:pt>
                <c:pt idx="991">
                  <c:v>-7.6803602137415528</c:v>
                </c:pt>
                <c:pt idx="992">
                  <c:v>-7.6915084631810799</c:v>
                </c:pt>
                <c:pt idx="993">
                  <c:v>-7.7026567116354805</c:v>
                </c:pt>
                <c:pt idx="994">
                  <c:v>-7.7138049591046629</c:v>
                </c:pt>
                <c:pt idx="995">
                  <c:v>-7.7249532055885357</c:v>
                </c:pt>
                <c:pt idx="996">
                  <c:v>-7.7361014510870074</c:v>
                </c:pt>
                <c:pt idx="997">
                  <c:v>-7.7472496955999866</c:v>
                </c:pt>
                <c:pt idx="998">
                  <c:v>-7.7583979391273807</c:v>
                </c:pt>
                <c:pt idx="999">
                  <c:v>-7.7695461816690994</c:v>
                </c:pt>
                <c:pt idx="1000">
                  <c:v>-7.7806944232250501</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35.900000000000198</c:v>
                </c:pt>
                <c:pt idx="720">
                  <c:v>36.000000000000199</c:v>
                </c:pt>
                <c:pt idx="721">
                  <c:v>36.1000000000002</c:v>
                </c:pt>
                <c:pt idx="722">
                  <c:v>36.200000000000202</c:v>
                </c:pt>
                <c:pt idx="723">
                  <c:v>36.300000000000203</c:v>
                </c:pt>
                <c:pt idx="724">
                  <c:v>36.400000000000205</c:v>
                </c:pt>
                <c:pt idx="725">
                  <c:v>36.500000000000206</c:v>
                </c:pt>
                <c:pt idx="726">
                  <c:v>36.600000000000207</c:v>
                </c:pt>
                <c:pt idx="727">
                  <c:v>36.700000000000209</c:v>
                </c:pt>
                <c:pt idx="728">
                  <c:v>36.80000000000021</c:v>
                </c:pt>
                <c:pt idx="729">
                  <c:v>36.900000000000212</c:v>
                </c:pt>
                <c:pt idx="730">
                  <c:v>37.000000000000213</c:v>
                </c:pt>
                <c:pt idx="731">
                  <c:v>37.100000000000215</c:v>
                </c:pt>
                <c:pt idx="732">
                  <c:v>37.200000000000216</c:v>
                </c:pt>
                <c:pt idx="733">
                  <c:v>37.300000000000217</c:v>
                </c:pt>
                <c:pt idx="734">
                  <c:v>37.400000000000219</c:v>
                </c:pt>
                <c:pt idx="735">
                  <c:v>37.50000000000022</c:v>
                </c:pt>
                <c:pt idx="736">
                  <c:v>37.600000000000222</c:v>
                </c:pt>
                <c:pt idx="737">
                  <c:v>37.700000000000223</c:v>
                </c:pt>
                <c:pt idx="738">
                  <c:v>37.800000000000225</c:v>
                </c:pt>
                <c:pt idx="739">
                  <c:v>37.900000000000226</c:v>
                </c:pt>
                <c:pt idx="740">
                  <c:v>38.000000000000227</c:v>
                </c:pt>
                <c:pt idx="741">
                  <c:v>38.100000000000229</c:v>
                </c:pt>
                <c:pt idx="742">
                  <c:v>38.20000000000023</c:v>
                </c:pt>
                <c:pt idx="743">
                  <c:v>38.300000000000232</c:v>
                </c:pt>
                <c:pt idx="744">
                  <c:v>38.400000000000233</c:v>
                </c:pt>
                <c:pt idx="745">
                  <c:v>38.500000000000234</c:v>
                </c:pt>
                <c:pt idx="746">
                  <c:v>38.600000000000236</c:v>
                </c:pt>
                <c:pt idx="747">
                  <c:v>38.700000000000237</c:v>
                </c:pt>
                <c:pt idx="748">
                  <c:v>38.800000000000239</c:v>
                </c:pt>
                <c:pt idx="749">
                  <c:v>38.90000000000024</c:v>
                </c:pt>
                <c:pt idx="750">
                  <c:v>39.000000000000242</c:v>
                </c:pt>
                <c:pt idx="751">
                  <c:v>39.100000000000243</c:v>
                </c:pt>
                <c:pt idx="752">
                  <c:v>39.200000000000244</c:v>
                </c:pt>
                <c:pt idx="753">
                  <c:v>39.300000000000246</c:v>
                </c:pt>
                <c:pt idx="754">
                  <c:v>39.400000000000247</c:v>
                </c:pt>
                <c:pt idx="755">
                  <c:v>39.500000000000249</c:v>
                </c:pt>
                <c:pt idx="756">
                  <c:v>39.60000000000025</c:v>
                </c:pt>
                <c:pt idx="757">
                  <c:v>39.700000000000252</c:v>
                </c:pt>
                <c:pt idx="758">
                  <c:v>39.800000000000253</c:v>
                </c:pt>
                <c:pt idx="759">
                  <c:v>39.900000000000254</c:v>
                </c:pt>
                <c:pt idx="760">
                  <c:v>40.000000000000256</c:v>
                </c:pt>
                <c:pt idx="761">
                  <c:v>40.100000000000257</c:v>
                </c:pt>
                <c:pt idx="762">
                  <c:v>40.200000000000259</c:v>
                </c:pt>
                <c:pt idx="763">
                  <c:v>40.30000000000026</c:v>
                </c:pt>
                <c:pt idx="764">
                  <c:v>40.400000000000261</c:v>
                </c:pt>
                <c:pt idx="765">
                  <c:v>40.500000000000263</c:v>
                </c:pt>
                <c:pt idx="766">
                  <c:v>40.600000000000264</c:v>
                </c:pt>
                <c:pt idx="767">
                  <c:v>40.700000000000266</c:v>
                </c:pt>
                <c:pt idx="768">
                  <c:v>40.800000000000267</c:v>
                </c:pt>
                <c:pt idx="769">
                  <c:v>40.900000000000269</c:v>
                </c:pt>
                <c:pt idx="770">
                  <c:v>41.00000000000027</c:v>
                </c:pt>
                <c:pt idx="771">
                  <c:v>41.100000000000271</c:v>
                </c:pt>
                <c:pt idx="772">
                  <c:v>41.200000000000273</c:v>
                </c:pt>
                <c:pt idx="773">
                  <c:v>41.300000000000274</c:v>
                </c:pt>
                <c:pt idx="774">
                  <c:v>41.400000000000276</c:v>
                </c:pt>
                <c:pt idx="775">
                  <c:v>41.500000000000277</c:v>
                </c:pt>
                <c:pt idx="776">
                  <c:v>41.600000000000279</c:v>
                </c:pt>
                <c:pt idx="777">
                  <c:v>41.70000000000028</c:v>
                </c:pt>
                <c:pt idx="778">
                  <c:v>41.800000000000281</c:v>
                </c:pt>
                <c:pt idx="779">
                  <c:v>41.900000000000283</c:v>
                </c:pt>
                <c:pt idx="780">
                  <c:v>42.000000000000284</c:v>
                </c:pt>
                <c:pt idx="781">
                  <c:v>42.100000000000286</c:v>
                </c:pt>
                <c:pt idx="782">
                  <c:v>42.200000000000287</c:v>
                </c:pt>
                <c:pt idx="783">
                  <c:v>42.300000000000288</c:v>
                </c:pt>
                <c:pt idx="784">
                  <c:v>42.40000000000029</c:v>
                </c:pt>
                <c:pt idx="785">
                  <c:v>42.500000000000291</c:v>
                </c:pt>
                <c:pt idx="786">
                  <c:v>42.600000000000293</c:v>
                </c:pt>
                <c:pt idx="787">
                  <c:v>42.700000000000294</c:v>
                </c:pt>
                <c:pt idx="788">
                  <c:v>42.800000000000296</c:v>
                </c:pt>
                <c:pt idx="789">
                  <c:v>42.900000000000297</c:v>
                </c:pt>
                <c:pt idx="790">
                  <c:v>43.000000000000298</c:v>
                </c:pt>
                <c:pt idx="791">
                  <c:v>43.1000000000003</c:v>
                </c:pt>
                <c:pt idx="792">
                  <c:v>43.200000000000301</c:v>
                </c:pt>
                <c:pt idx="793">
                  <c:v>43.300000000000303</c:v>
                </c:pt>
                <c:pt idx="794">
                  <c:v>43.400000000000304</c:v>
                </c:pt>
                <c:pt idx="795">
                  <c:v>43.500000000000306</c:v>
                </c:pt>
                <c:pt idx="796">
                  <c:v>43.600000000000307</c:v>
                </c:pt>
                <c:pt idx="797">
                  <c:v>43.700000000000308</c:v>
                </c:pt>
                <c:pt idx="798">
                  <c:v>43.80000000000031</c:v>
                </c:pt>
                <c:pt idx="799">
                  <c:v>43.900000000000311</c:v>
                </c:pt>
                <c:pt idx="800">
                  <c:v>43.900100000000315</c:v>
                </c:pt>
                <c:pt idx="801">
                  <c:v>43.900200000000318</c:v>
                </c:pt>
                <c:pt idx="802">
                  <c:v>43.900300000000321</c:v>
                </c:pt>
                <c:pt idx="803">
                  <c:v>43.900400000000324</c:v>
                </c:pt>
                <c:pt idx="804">
                  <c:v>43.900500000000328</c:v>
                </c:pt>
                <c:pt idx="805">
                  <c:v>43.900600000000331</c:v>
                </c:pt>
                <c:pt idx="806">
                  <c:v>43.900700000000334</c:v>
                </c:pt>
                <c:pt idx="807">
                  <c:v>43.900800000000338</c:v>
                </c:pt>
                <c:pt idx="808">
                  <c:v>43.900900000000341</c:v>
                </c:pt>
                <c:pt idx="809">
                  <c:v>43.901000000000344</c:v>
                </c:pt>
                <c:pt idx="810">
                  <c:v>43.901100000000348</c:v>
                </c:pt>
                <c:pt idx="811">
                  <c:v>43.901200000000351</c:v>
                </c:pt>
                <c:pt idx="812">
                  <c:v>43.901300000000354</c:v>
                </c:pt>
                <c:pt idx="813">
                  <c:v>43.901400000000358</c:v>
                </c:pt>
                <c:pt idx="814">
                  <c:v>43.901500000000361</c:v>
                </c:pt>
                <c:pt idx="815">
                  <c:v>43.901600000000364</c:v>
                </c:pt>
                <c:pt idx="816">
                  <c:v>43.901700000000368</c:v>
                </c:pt>
                <c:pt idx="817">
                  <c:v>43.901800000000371</c:v>
                </c:pt>
                <c:pt idx="818">
                  <c:v>43.901900000000374</c:v>
                </c:pt>
                <c:pt idx="819">
                  <c:v>43.902000000000378</c:v>
                </c:pt>
                <c:pt idx="820">
                  <c:v>43.902100000000381</c:v>
                </c:pt>
                <c:pt idx="821">
                  <c:v>43.902200000000384</c:v>
                </c:pt>
                <c:pt idx="822">
                  <c:v>43.902300000000388</c:v>
                </c:pt>
                <c:pt idx="823">
                  <c:v>43.902400000000391</c:v>
                </c:pt>
                <c:pt idx="824">
                  <c:v>43.902500000000394</c:v>
                </c:pt>
                <c:pt idx="825">
                  <c:v>43.902600000000398</c:v>
                </c:pt>
                <c:pt idx="826">
                  <c:v>43.902700000000401</c:v>
                </c:pt>
                <c:pt idx="827">
                  <c:v>43.902800000000404</c:v>
                </c:pt>
                <c:pt idx="828">
                  <c:v>43.902900000000407</c:v>
                </c:pt>
                <c:pt idx="829">
                  <c:v>43.903000000000411</c:v>
                </c:pt>
                <c:pt idx="830">
                  <c:v>43.903100000000414</c:v>
                </c:pt>
                <c:pt idx="831">
                  <c:v>43.903200000000417</c:v>
                </c:pt>
                <c:pt idx="832">
                  <c:v>43.903300000000421</c:v>
                </c:pt>
                <c:pt idx="833">
                  <c:v>43.903400000000424</c:v>
                </c:pt>
                <c:pt idx="834">
                  <c:v>43.903500000000427</c:v>
                </c:pt>
                <c:pt idx="835">
                  <c:v>43.903600000000431</c:v>
                </c:pt>
                <c:pt idx="836">
                  <c:v>43.903700000000434</c:v>
                </c:pt>
                <c:pt idx="837">
                  <c:v>43.903800000000437</c:v>
                </c:pt>
                <c:pt idx="838">
                  <c:v>43.903900000000441</c:v>
                </c:pt>
                <c:pt idx="839">
                  <c:v>43.904000000000444</c:v>
                </c:pt>
                <c:pt idx="840">
                  <c:v>43.904100000000447</c:v>
                </c:pt>
                <c:pt idx="841">
                  <c:v>43.904200000000451</c:v>
                </c:pt>
                <c:pt idx="842">
                  <c:v>43.904300000000454</c:v>
                </c:pt>
                <c:pt idx="843">
                  <c:v>43.904400000000457</c:v>
                </c:pt>
                <c:pt idx="844">
                  <c:v>43.904500000000461</c:v>
                </c:pt>
                <c:pt idx="845">
                  <c:v>43.904600000000464</c:v>
                </c:pt>
                <c:pt idx="846">
                  <c:v>43.904700000000467</c:v>
                </c:pt>
                <c:pt idx="847">
                  <c:v>43.904800000000471</c:v>
                </c:pt>
                <c:pt idx="848">
                  <c:v>43.904900000000474</c:v>
                </c:pt>
                <c:pt idx="849">
                  <c:v>43.905000000000477</c:v>
                </c:pt>
                <c:pt idx="850">
                  <c:v>43.905100000000481</c:v>
                </c:pt>
                <c:pt idx="851">
                  <c:v>43.905200000000484</c:v>
                </c:pt>
                <c:pt idx="852">
                  <c:v>43.905300000000487</c:v>
                </c:pt>
                <c:pt idx="853">
                  <c:v>43.90540000000049</c:v>
                </c:pt>
                <c:pt idx="854">
                  <c:v>43.905500000000494</c:v>
                </c:pt>
                <c:pt idx="855">
                  <c:v>43.905600000000497</c:v>
                </c:pt>
                <c:pt idx="856">
                  <c:v>43.9057000000005</c:v>
                </c:pt>
                <c:pt idx="857">
                  <c:v>43.905800000000504</c:v>
                </c:pt>
                <c:pt idx="858">
                  <c:v>43.905900000000507</c:v>
                </c:pt>
                <c:pt idx="859">
                  <c:v>43.90600000000051</c:v>
                </c:pt>
                <c:pt idx="860">
                  <c:v>43.906100000000514</c:v>
                </c:pt>
                <c:pt idx="861">
                  <c:v>43.906200000000517</c:v>
                </c:pt>
                <c:pt idx="862">
                  <c:v>43.90630000000052</c:v>
                </c:pt>
                <c:pt idx="863">
                  <c:v>43.906400000000524</c:v>
                </c:pt>
                <c:pt idx="864">
                  <c:v>43.906500000000527</c:v>
                </c:pt>
                <c:pt idx="865">
                  <c:v>43.90660000000053</c:v>
                </c:pt>
                <c:pt idx="866">
                  <c:v>43.906700000000534</c:v>
                </c:pt>
                <c:pt idx="867">
                  <c:v>43.906800000000537</c:v>
                </c:pt>
                <c:pt idx="868">
                  <c:v>43.90690000000054</c:v>
                </c:pt>
                <c:pt idx="869">
                  <c:v>43.907000000000544</c:v>
                </c:pt>
                <c:pt idx="870">
                  <c:v>43.907100000000547</c:v>
                </c:pt>
                <c:pt idx="871">
                  <c:v>43.90720000000055</c:v>
                </c:pt>
                <c:pt idx="872">
                  <c:v>43.907300000000554</c:v>
                </c:pt>
                <c:pt idx="873">
                  <c:v>43.907400000000557</c:v>
                </c:pt>
                <c:pt idx="874">
                  <c:v>43.90750000000056</c:v>
                </c:pt>
                <c:pt idx="875">
                  <c:v>43.907600000000564</c:v>
                </c:pt>
                <c:pt idx="876">
                  <c:v>43.907700000000567</c:v>
                </c:pt>
                <c:pt idx="877">
                  <c:v>43.90780000000057</c:v>
                </c:pt>
                <c:pt idx="878">
                  <c:v>43.907900000000573</c:v>
                </c:pt>
                <c:pt idx="879">
                  <c:v>43.908000000000577</c:v>
                </c:pt>
                <c:pt idx="880">
                  <c:v>43.90810000000058</c:v>
                </c:pt>
                <c:pt idx="881">
                  <c:v>43.908200000000583</c:v>
                </c:pt>
                <c:pt idx="882">
                  <c:v>43.908300000000587</c:v>
                </c:pt>
                <c:pt idx="883">
                  <c:v>43.90840000000059</c:v>
                </c:pt>
                <c:pt idx="884">
                  <c:v>43.908500000000593</c:v>
                </c:pt>
                <c:pt idx="885">
                  <c:v>43.908600000000597</c:v>
                </c:pt>
                <c:pt idx="886">
                  <c:v>43.9087000000006</c:v>
                </c:pt>
                <c:pt idx="887">
                  <c:v>43.908800000000603</c:v>
                </c:pt>
                <c:pt idx="888">
                  <c:v>43.908900000000607</c:v>
                </c:pt>
                <c:pt idx="889">
                  <c:v>43.90900000000061</c:v>
                </c:pt>
                <c:pt idx="890">
                  <c:v>43.909100000000613</c:v>
                </c:pt>
                <c:pt idx="891">
                  <c:v>43.909200000000617</c:v>
                </c:pt>
                <c:pt idx="892">
                  <c:v>43.90930000000062</c:v>
                </c:pt>
                <c:pt idx="893">
                  <c:v>43.909400000000623</c:v>
                </c:pt>
                <c:pt idx="894">
                  <c:v>43.909500000000627</c:v>
                </c:pt>
                <c:pt idx="895">
                  <c:v>43.90960000000063</c:v>
                </c:pt>
                <c:pt idx="896">
                  <c:v>43.909700000000633</c:v>
                </c:pt>
                <c:pt idx="897">
                  <c:v>43.909800000000637</c:v>
                </c:pt>
                <c:pt idx="898">
                  <c:v>43.90990000000064</c:v>
                </c:pt>
                <c:pt idx="899">
                  <c:v>43.910000000000643</c:v>
                </c:pt>
                <c:pt idx="900">
                  <c:v>43.910100000000647</c:v>
                </c:pt>
                <c:pt idx="901">
                  <c:v>43.91020000000065</c:v>
                </c:pt>
                <c:pt idx="902">
                  <c:v>43.910300000000653</c:v>
                </c:pt>
                <c:pt idx="903">
                  <c:v>43.910400000000656</c:v>
                </c:pt>
                <c:pt idx="904">
                  <c:v>43.91050000000066</c:v>
                </c:pt>
                <c:pt idx="905">
                  <c:v>43.910600000000663</c:v>
                </c:pt>
                <c:pt idx="906">
                  <c:v>43.910700000000666</c:v>
                </c:pt>
                <c:pt idx="907">
                  <c:v>43.91080000000067</c:v>
                </c:pt>
                <c:pt idx="908">
                  <c:v>43.910900000000673</c:v>
                </c:pt>
                <c:pt idx="909">
                  <c:v>43.911000000000676</c:v>
                </c:pt>
                <c:pt idx="910">
                  <c:v>43.91110000000068</c:v>
                </c:pt>
                <c:pt idx="911">
                  <c:v>43.911200000000683</c:v>
                </c:pt>
                <c:pt idx="912">
                  <c:v>43.911300000000686</c:v>
                </c:pt>
                <c:pt idx="913">
                  <c:v>43.91140000000069</c:v>
                </c:pt>
                <c:pt idx="914">
                  <c:v>43.911500000000693</c:v>
                </c:pt>
                <c:pt idx="915">
                  <c:v>43.911600000000696</c:v>
                </c:pt>
                <c:pt idx="916">
                  <c:v>43.9117000000007</c:v>
                </c:pt>
                <c:pt idx="917">
                  <c:v>43.911800000000703</c:v>
                </c:pt>
                <c:pt idx="918">
                  <c:v>43.911900000000706</c:v>
                </c:pt>
                <c:pt idx="919">
                  <c:v>43.91200000000071</c:v>
                </c:pt>
                <c:pt idx="920">
                  <c:v>43.912100000000713</c:v>
                </c:pt>
                <c:pt idx="921">
                  <c:v>43.912200000000716</c:v>
                </c:pt>
                <c:pt idx="922">
                  <c:v>43.91230000000072</c:v>
                </c:pt>
                <c:pt idx="923">
                  <c:v>43.912400000000723</c:v>
                </c:pt>
                <c:pt idx="924">
                  <c:v>43.912500000000726</c:v>
                </c:pt>
                <c:pt idx="925">
                  <c:v>43.912600000000729</c:v>
                </c:pt>
                <c:pt idx="926">
                  <c:v>43.912700000000733</c:v>
                </c:pt>
                <c:pt idx="927">
                  <c:v>43.912800000000736</c:v>
                </c:pt>
                <c:pt idx="928">
                  <c:v>43.912900000000739</c:v>
                </c:pt>
                <c:pt idx="929">
                  <c:v>43.913000000000743</c:v>
                </c:pt>
                <c:pt idx="930">
                  <c:v>43.913100000000746</c:v>
                </c:pt>
                <c:pt idx="931">
                  <c:v>43.913200000000749</c:v>
                </c:pt>
                <c:pt idx="932">
                  <c:v>43.913300000000753</c:v>
                </c:pt>
                <c:pt idx="933">
                  <c:v>43.913400000000756</c:v>
                </c:pt>
                <c:pt idx="934">
                  <c:v>43.913500000000759</c:v>
                </c:pt>
                <c:pt idx="935">
                  <c:v>43.913600000000763</c:v>
                </c:pt>
                <c:pt idx="936">
                  <c:v>43.913700000000766</c:v>
                </c:pt>
                <c:pt idx="937">
                  <c:v>43.913800000000769</c:v>
                </c:pt>
                <c:pt idx="938">
                  <c:v>43.913900000000773</c:v>
                </c:pt>
                <c:pt idx="939">
                  <c:v>43.914000000000776</c:v>
                </c:pt>
                <c:pt idx="940">
                  <c:v>43.914100000000779</c:v>
                </c:pt>
                <c:pt idx="941">
                  <c:v>43.914200000000783</c:v>
                </c:pt>
                <c:pt idx="942">
                  <c:v>43.914300000000786</c:v>
                </c:pt>
                <c:pt idx="943">
                  <c:v>43.914400000000789</c:v>
                </c:pt>
                <c:pt idx="944">
                  <c:v>43.914500000000793</c:v>
                </c:pt>
                <c:pt idx="945">
                  <c:v>43.914600000000796</c:v>
                </c:pt>
                <c:pt idx="946">
                  <c:v>43.914700000000799</c:v>
                </c:pt>
                <c:pt idx="947">
                  <c:v>43.914800000000803</c:v>
                </c:pt>
                <c:pt idx="948">
                  <c:v>43.914900000000806</c:v>
                </c:pt>
                <c:pt idx="949">
                  <c:v>43.915000000000809</c:v>
                </c:pt>
                <c:pt idx="950">
                  <c:v>43.915100000000812</c:v>
                </c:pt>
                <c:pt idx="951">
                  <c:v>43.915200000000816</c:v>
                </c:pt>
                <c:pt idx="952">
                  <c:v>43.915300000000819</c:v>
                </c:pt>
                <c:pt idx="953">
                  <c:v>43.915400000000822</c:v>
                </c:pt>
                <c:pt idx="954">
                  <c:v>43.915500000000826</c:v>
                </c:pt>
                <c:pt idx="955">
                  <c:v>43.915600000000829</c:v>
                </c:pt>
                <c:pt idx="956">
                  <c:v>43.915700000000832</c:v>
                </c:pt>
                <c:pt idx="957">
                  <c:v>43.915800000000836</c:v>
                </c:pt>
                <c:pt idx="958">
                  <c:v>43.915900000000839</c:v>
                </c:pt>
                <c:pt idx="959">
                  <c:v>43.916000000000842</c:v>
                </c:pt>
                <c:pt idx="960">
                  <c:v>43.916100000000846</c:v>
                </c:pt>
                <c:pt idx="961">
                  <c:v>43.916200000000849</c:v>
                </c:pt>
                <c:pt idx="962">
                  <c:v>43.916300000000852</c:v>
                </c:pt>
                <c:pt idx="963">
                  <c:v>43.916400000000856</c:v>
                </c:pt>
                <c:pt idx="964">
                  <c:v>43.916500000000859</c:v>
                </c:pt>
                <c:pt idx="965">
                  <c:v>43.916600000000862</c:v>
                </c:pt>
                <c:pt idx="966">
                  <c:v>43.916700000000866</c:v>
                </c:pt>
                <c:pt idx="967">
                  <c:v>43.916800000000869</c:v>
                </c:pt>
                <c:pt idx="968">
                  <c:v>43.916900000000872</c:v>
                </c:pt>
                <c:pt idx="969">
                  <c:v>43.917000000000876</c:v>
                </c:pt>
                <c:pt idx="970">
                  <c:v>43.917100000000879</c:v>
                </c:pt>
                <c:pt idx="971">
                  <c:v>43.917200000000882</c:v>
                </c:pt>
                <c:pt idx="972">
                  <c:v>43.917300000000886</c:v>
                </c:pt>
                <c:pt idx="973">
                  <c:v>43.917400000000889</c:v>
                </c:pt>
                <c:pt idx="974">
                  <c:v>43.917500000000892</c:v>
                </c:pt>
                <c:pt idx="975">
                  <c:v>43.917600000000895</c:v>
                </c:pt>
                <c:pt idx="976">
                  <c:v>43.917700000000899</c:v>
                </c:pt>
                <c:pt idx="977">
                  <c:v>43.917800000000902</c:v>
                </c:pt>
                <c:pt idx="978">
                  <c:v>43.917900000000905</c:v>
                </c:pt>
                <c:pt idx="979">
                  <c:v>43.918000000000909</c:v>
                </c:pt>
                <c:pt idx="980">
                  <c:v>43.918100000000912</c:v>
                </c:pt>
                <c:pt idx="981">
                  <c:v>43.918200000000915</c:v>
                </c:pt>
                <c:pt idx="982">
                  <c:v>43.918300000000919</c:v>
                </c:pt>
                <c:pt idx="983">
                  <c:v>43.918400000000922</c:v>
                </c:pt>
                <c:pt idx="984">
                  <c:v>43.918500000000925</c:v>
                </c:pt>
                <c:pt idx="985">
                  <c:v>43.918600000000929</c:v>
                </c:pt>
                <c:pt idx="986">
                  <c:v>43.918700000000932</c:v>
                </c:pt>
                <c:pt idx="987">
                  <c:v>43.918800000000935</c:v>
                </c:pt>
                <c:pt idx="988">
                  <c:v>43.918900000000939</c:v>
                </c:pt>
                <c:pt idx="989">
                  <c:v>43.919000000000942</c:v>
                </c:pt>
                <c:pt idx="990">
                  <c:v>43.919100000000945</c:v>
                </c:pt>
                <c:pt idx="991">
                  <c:v>43.919200000000949</c:v>
                </c:pt>
                <c:pt idx="992">
                  <c:v>43.919300000000952</c:v>
                </c:pt>
                <c:pt idx="993">
                  <c:v>43.919400000000955</c:v>
                </c:pt>
                <c:pt idx="994">
                  <c:v>43.919500000000959</c:v>
                </c:pt>
                <c:pt idx="995">
                  <c:v>43.919600000000962</c:v>
                </c:pt>
                <c:pt idx="996">
                  <c:v>43.919700000000965</c:v>
                </c:pt>
                <c:pt idx="997">
                  <c:v>43.919800000000969</c:v>
                </c:pt>
                <c:pt idx="998">
                  <c:v>43.919900000000972</c:v>
                </c:pt>
                <c:pt idx="999">
                  <c:v>43.920000000000975</c:v>
                </c:pt>
                <c:pt idx="1000">
                  <c:v>43.920100000000978</c:v>
                </c:pt>
              </c:numCache>
            </c:numRef>
          </c:xVal>
          <c:yVal>
            <c:numRef>
              <c:f>Calculs!$K$4:$K$1004</c:f>
              <c:numCache>
                <c:formatCode>0.00</c:formatCode>
                <c:ptCount val="1001"/>
                <c:pt idx="0">
                  <c:v>0</c:v>
                </c:pt>
                <c:pt idx="1">
                  <c:v>0.98473700747290427</c:v>
                </c:pt>
                <c:pt idx="2">
                  <c:v>1.9707925741889669</c:v>
                </c:pt>
                <c:pt idx="3">
                  <c:v>2.9610860184747216</c:v>
                </c:pt>
                <c:pt idx="4">
                  <c:v>3.9585357304745465</c:v>
                </c:pt>
                <c:pt idx="5">
                  <c:v>4.9660456277968521</c:v>
                </c:pt>
                <c:pt idx="6">
                  <c:v>5.9857801416581502</c:v>
                </c:pt>
                <c:pt idx="7">
                  <c:v>7.0184377263080782</c:v>
                </c:pt>
                <c:pt idx="8">
                  <c:v>8.0639758970996578</c:v>
                </c:pt>
                <c:pt idx="9">
                  <c:v>9.1223519271825548</c:v>
                </c:pt>
                <c:pt idx="10">
                  <c:v>10.193522849710263</c:v>
                </c:pt>
                <c:pt idx="11">
                  <c:v>11.277445460068151</c:v>
                </c:pt>
                <c:pt idx="12">
                  <c:v>12.374076318121705</c:v>
                </c:pt>
                <c:pt idx="13">
                  <c:v>13.483371750484361</c:v>
                </c:pt>
                <c:pt idx="14">
                  <c:v>14.605287852804278</c:v>
                </c:pt>
                <c:pt idx="15">
                  <c:v>15.739780492069482</c:v>
                </c:pt>
                <c:pt idx="16">
                  <c:v>16.886805308930761</c:v>
                </c:pt>
                <c:pt idx="17">
                  <c:v>18.046317720041731</c:v>
                </c:pt>
                <c:pt idx="18">
                  <c:v>19.218272920415501</c:v>
                </c:pt>
                <c:pt idx="19">
                  <c:v>20.402625885797381</c:v>
                </c:pt>
                <c:pt idx="20">
                  <c:v>21.599331375053055</c:v>
                </c:pt>
                <c:pt idx="21">
                  <c:v>22.808343932571688</c:v>
                </c:pt>
                <c:pt idx="22">
                  <c:v>24.029617890683419</c:v>
                </c:pt>
                <c:pt idx="23">
                  <c:v>25.263107372090694</c:v>
                </c:pt>
                <c:pt idx="24">
                  <c:v>26.508766292312938</c:v>
                </c:pt>
                <c:pt idx="25">
                  <c:v>27.766548362144015</c:v>
                </c:pt>
                <c:pt idx="26">
                  <c:v>29.036407090121966</c:v>
                </c:pt>
                <c:pt idx="27">
                  <c:v>30.318295785010548</c:v>
                </c:pt>
                <c:pt idx="28">
                  <c:v>31.612167558292008</c:v>
                </c:pt>
                <c:pt idx="29">
                  <c:v>32.917975326670643</c:v>
                </c:pt>
                <c:pt idx="30">
                  <c:v>34.235671814586652</c:v>
                </c:pt>
                <c:pt idx="31">
                  <c:v>35.565209556739731</c:v>
                </c:pt>
                <c:pt idx="32">
                  <c:v>36.906540900621998</c:v>
                </c:pt>
                <c:pt idx="33">
                  <c:v>38.259618009059736</c:v>
                </c:pt>
                <c:pt idx="34">
                  <c:v>39.624392862763472</c:v>
                </c:pt>
                <c:pt idx="35">
                  <c:v>41.000817262885903</c:v>
                </c:pt>
                <c:pt idx="36">
                  <c:v>42.388842833587283</c:v>
                </c:pt>
                <c:pt idx="37">
                  <c:v>43.788421024607679</c:v>
                </c:pt>
                <c:pt idx="38">
                  <c:v>45.199503113845751</c:v>
                </c:pt>
                <c:pt idx="39">
                  <c:v>46.622040209943556</c:v>
                </c:pt>
                <c:pt idx="40">
                  <c:v>48.055983254876885</c:v>
                </c:pt>
                <c:pt idx="41">
                  <c:v>49.501283026550759</c:v>
                </c:pt>
                <c:pt idx="42">
                  <c:v>50.957890141399595</c:v>
                </c:pt>
                <c:pt idx="43">
                  <c:v>52.425755056991591</c:v>
                </c:pt>
                <c:pt idx="44">
                  <c:v>53.904828074636939</c:v>
                </c:pt>
                <c:pt idx="45">
                  <c:v>55.395059341999392</c:v>
                </c:pt>
                <c:pt idx="46">
                  <c:v>56.896398855710757</c:v>
                </c:pt>
                <c:pt idx="47">
                  <c:v>58.408796463987933</c:v>
                </c:pt>
                <c:pt idx="48">
                  <c:v>59.932201869252012</c:v>
                </c:pt>
                <c:pt idx="49">
                  <c:v>61.466564630749055</c:v>
                </c:pt>
                <c:pt idx="50">
                  <c:v>63.011834167172154</c:v>
                </c:pt>
                <c:pt idx="51">
                  <c:v>64.567963696245272</c:v>
                </c:pt>
                <c:pt idx="52">
                  <c:v>66.13491417602863</c:v>
                </c:pt>
                <c:pt idx="53">
                  <c:v>67.712650368503375</c:v>
                </c:pt>
                <c:pt idx="54">
                  <c:v>69.301136901011404</c:v>
                </c:pt>
                <c:pt idx="55">
                  <c:v>70.900338268033593</c:v>
                </c:pt>
                <c:pt idx="56">
                  <c:v>72.510218832972328</c:v>
                </c:pt>
                <c:pt idx="57">
                  <c:v>74.130742829938129</c:v>
                </c:pt>
                <c:pt idx="58">
                  <c:v>75.761874365540137</c:v>
                </c:pt>
                <c:pt idx="59">
                  <c:v>77.403577420680165</c:v>
                </c:pt>
                <c:pt idx="60">
                  <c:v>79.055815852350065</c:v>
                </c:pt>
                <c:pt idx="61">
                  <c:v>80.718553395432181</c:v>
                </c:pt>
                <c:pt idx="62">
                  <c:v>82.391753664502673</c:v>
                </c:pt>
                <c:pt idx="63">
                  <c:v>84.075380155637333</c:v>
                </c:pt>
                <c:pt idx="64">
                  <c:v>85.769396248219863</c:v>
                </c:pt>
                <c:pt idx="65">
                  <c:v>87.473765206752091</c:v>
                </c:pt>
                <c:pt idx="66">
                  <c:v>89.188450182666188</c:v>
                </c:pt>
                <c:pt idx="67">
                  <c:v>90.913414216138392</c:v>
                </c:pt>
                <c:pt idx="68">
                  <c:v>92.64862023790414</c:v>
                </c:pt>
                <c:pt idx="69">
                  <c:v>94.394031071074309</c:v>
                </c:pt>
                <c:pt idx="70">
                  <c:v>96.14960943295236</c:v>
                </c:pt>
                <c:pt idx="71">
                  <c:v>97.915317936852134</c:v>
                </c:pt>
                <c:pt idx="72">
                  <c:v>99.691119093916086</c:v>
                </c:pt>
                <c:pt idx="73">
                  <c:v>101.47697531493367</c:v>
                </c:pt>
                <c:pt idx="74">
                  <c:v>103.27284891215973</c:v>
                </c:pt>
                <c:pt idx="75">
                  <c:v>105.07870210113261</c:v>
                </c:pt>
                <c:pt idx="76">
                  <c:v>106.8944970024917</c:v>
                </c:pt>
                <c:pt idx="77">
                  <c:v>108.72019564379444</c:v>
                </c:pt>
                <c:pt idx="78">
                  <c:v>110.55575996133214</c:v>
                </c:pt>
                <c:pt idx="79">
                  <c:v>112.40115180194485</c:v>
                </c:pt>
                <c:pt idx="80">
                  <c:v>114.25633292483468</c:v>
                </c:pt>
                <c:pt idx="81">
                  <c:v>116.12126500337764</c:v>
                </c:pt>
                <c:pt idx="82">
                  <c:v>117.99590962693364</c:v>
                </c:pt>
                <c:pt idx="83">
                  <c:v>119.88022830265433</c:v>
                </c:pt>
                <c:pt idx="84">
                  <c:v>121.77418245728894</c:v>
                </c:pt>
                <c:pt idx="85">
                  <c:v>123.67773343898742</c:v>
                </c:pt>
                <c:pt idx="86">
                  <c:v>125.59084251910106</c:v>
                </c:pt>
                <c:pt idx="87">
                  <c:v>127.51347089398026</c:v>
                </c:pt>
                <c:pt idx="88">
                  <c:v>129.44557968676909</c:v>
                </c:pt>
                <c:pt idx="89">
                  <c:v>131.38712994919675</c:v>
                </c:pt>
                <c:pt idx="90">
                  <c:v>133.33808266336544</c:v>
                </c:pt>
                <c:pt idx="91">
                  <c:v>135.29839874353465</c:v>
                </c:pt>
                <c:pt idx="92">
                  <c:v>137.26803903790145</c:v>
                </c:pt>
                <c:pt idx="93">
                  <c:v>139.24696433037687</c:v>
                </c:pt>
                <c:pt idx="94">
                  <c:v>141.23513534235798</c:v>
                </c:pt>
                <c:pt idx="95">
                  <c:v>143.23251273449554</c:v>
                </c:pt>
                <c:pt idx="96">
                  <c:v>145.23905710845696</c:v>
                </c:pt>
                <c:pt idx="97">
                  <c:v>147.25472900868456</c:v>
                </c:pt>
                <c:pt idx="98">
                  <c:v>149.27948892414881</c:v>
                </c:pt>
                <c:pt idx="99">
                  <c:v>151.3132972900963</c:v>
                </c:pt>
                <c:pt idx="100">
                  <c:v>153.35611448979256</c:v>
                </c:pt>
                <c:pt idx="101">
                  <c:v>155.40789902147051</c:v>
                </c:pt>
                <c:pt idx="102">
                  <c:v>157.46860566617082</c:v>
                </c:pt>
                <c:pt idx="103">
                  <c:v>159.53818732851278</c:v>
                </c:pt>
                <c:pt idx="104">
                  <c:v>161.61659687672525</c:v>
                </c:pt>
                <c:pt idx="105">
                  <c:v>163.70378714468549</c:v>
                </c:pt>
                <c:pt idx="106">
                  <c:v>165.79971093394778</c:v>
                </c:pt>
                <c:pt idx="107">
                  <c:v>167.90432101576221</c:v>
                </c:pt>
                <c:pt idx="108">
                  <c:v>170.01757013308296</c:v>
                </c:pt>
                <c:pt idx="109">
                  <c:v>172.13941100256613</c:v>
                </c:pt>
                <c:pt idx="110">
                  <c:v>174.26979631655689</c:v>
                </c:pt>
                <c:pt idx="111">
                  <c:v>176.4086787450658</c:v>
                </c:pt>
                <c:pt idx="112">
                  <c:v>178.55601093773407</c:v>
                </c:pt>
                <c:pt idx="113">
                  <c:v>180.71174552578765</c:v>
                </c:pt>
                <c:pt idx="114">
                  <c:v>182.87583512397993</c:v>
                </c:pt>
                <c:pt idx="115">
                  <c:v>185.04823233252293</c:v>
                </c:pt>
                <c:pt idx="116">
                  <c:v>187.22888973900692</c:v>
                </c:pt>
                <c:pt idx="117">
                  <c:v>189.41775992030801</c:v>
                </c:pt>
                <c:pt idx="118">
                  <c:v>191.61479544448395</c:v>
                </c:pt>
                <c:pt idx="119">
                  <c:v>193.81994887265762</c:v>
                </c:pt>
                <c:pt idx="120">
                  <c:v>196.03317276088848</c:v>
                </c:pt>
                <c:pt idx="121">
                  <c:v>198.25441966203144</c:v>
                </c:pt>
                <c:pt idx="122">
                  <c:v>200.48364212758315</c:v>
                </c:pt>
                <c:pt idx="123">
                  <c:v>202.72079270951585</c:v>
                </c:pt>
                <c:pt idx="124">
                  <c:v>204.96582396209809</c:v>
                </c:pt>
                <c:pt idx="125">
                  <c:v>207.2186884437028</c:v>
                </c:pt>
                <c:pt idx="126">
                  <c:v>209.47933871860215</c:v>
                </c:pt>
                <c:pt idx="127">
                  <c:v>211.7477273587493</c:v>
                </c:pt>
                <c:pt idx="128">
                  <c:v>214.0238069455468</c:v>
                </c:pt>
                <c:pt idx="129">
                  <c:v>216.30753007160166</c:v>
                </c:pt>
                <c:pt idx="130">
                  <c:v>218.59884934246691</c:v>
                </c:pt>
                <c:pt idx="131">
                  <c:v>220.89771737836946</c:v>
                </c:pt>
                <c:pt idx="132">
                  <c:v>223.20408681592434</c:v>
                </c:pt>
                <c:pt idx="133">
                  <c:v>225.51791030983512</c:v>
                </c:pt>
                <c:pt idx="134">
                  <c:v>227.83914053458034</c:v>
                </c:pt>
                <c:pt idx="135">
                  <c:v>230.16773018608603</c:v>
                </c:pt>
                <c:pt idx="136">
                  <c:v>232.50363198338414</c:v>
                </c:pt>
                <c:pt idx="137">
                  <c:v>234.84679867025673</c:v>
                </c:pt>
                <c:pt idx="138">
                  <c:v>237.19718301686595</c:v>
                </c:pt>
                <c:pt idx="139">
                  <c:v>239.55473782136974</c:v>
                </c:pt>
                <c:pt idx="140">
                  <c:v>241.91941591152303</c:v>
                </c:pt>
                <c:pt idx="141">
                  <c:v>244.29117014626451</c:v>
                </c:pt>
                <c:pt idx="142">
                  <c:v>246.66995341728881</c:v>
                </c:pt>
                <c:pt idx="143">
                  <c:v>249.05571865060426</c:v>
                </c:pt>
                <c:pt idx="144">
                  <c:v>251.44841880807564</c:v>
                </c:pt>
                <c:pt idx="145">
                  <c:v>253.84800688895251</c:v>
                </c:pt>
                <c:pt idx="146">
                  <c:v>256.2544359313826</c:v>
                </c:pt>
                <c:pt idx="147">
                  <c:v>258.66765901391034</c:v>
                </c:pt>
                <c:pt idx="148">
                  <c:v>261.08762925696061</c:v>
                </c:pt>
                <c:pt idx="149">
                  <c:v>263.5142998243075</c:v>
                </c:pt>
                <c:pt idx="150">
                  <c:v>265.94762392452799</c:v>
                </c:pt>
                <c:pt idx="151">
                  <c:v>268.38755544311249</c:v>
                </c:pt>
                <c:pt idx="152">
                  <c:v>270.83404957368759</c:v>
                </c:pt>
                <c:pt idx="153">
                  <c:v>273.28706218623444</c:v>
                </c:pt>
                <c:pt idx="154">
                  <c:v>275.74654919612357</c:v>
                </c:pt>
                <c:pt idx="155">
                  <c:v>278.21246656541138</c:v>
                </c:pt>
                <c:pt idx="156">
                  <c:v>280.68477030412311</c:v>
                </c:pt>
                <c:pt idx="157">
                  <c:v>283.16341647152194</c:v>
                </c:pt>
                <c:pt idx="158">
                  <c:v>285.64836117736445</c:v>
                </c:pt>
                <c:pt idx="159">
                  <c:v>288.13956058314193</c:v>
                </c:pt>
                <c:pt idx="160">
                  <c:v>290.6369709033084</c:v>
                </c:pt>
                <c:pt idx="161">
                  <c:v>293.14054840649425</c:v>
                </c:pt>
                <c:pt idx="162">
                  <c:v>295.65024941670663</c:v>
                </c:pt>
                <c:pt idx="163">
                  <c:v>298.16603031451535</c:v>
                </c:pt>
                <c:pt idx="164">
                  <c:v>300.68784753822553</c:v>
                </c:pt>
                <c:pt idx="165">
                  <c:v>303.21565758503584</c:v>
                </c:pt>
                <c:pt idx="166">
                  <c:v>305.74941701218341</c:v>
                </c:pt>
                <c:pt idx="167">
                  <c:v>308.28908243807433</c:v>
                </c:pt>
                <c:pt idx="168">
                  <c:v>310.83461054340074</c:v>
                </c:pt>
                <c:pt idx="169">
                  <c:v>313.38595807224374</c:v>
                </c:pt>
                <c:pt idx="170">
                  <c:v>315.94308183316269</c:v>
                </c:pt>
                <c:pt idx="171">
                  <c:v>318.50593870027041</c:v>
                </c:pt>
                <c:pt idx="172">
                  <c:v>321.07448561429476</c:v>
                </c:pt>
                <c:pt idx="173">
                  <c:v>323.64867958362618</c:v>
                </c:pt>
                <c:pt idx="174">
                  <c:v>326.22847768535166</c:v>
                </c:pt>
                <c:pt idx="175">
                  <c:v>328.81383706627469</c:v>
                </c:pt>
                <c:pt idx="176">
                  <c:v>331.40471494392153</c:v>
                </c:pt>
                <c:pt idx="177">
                  <c:v>334.00106860753368</c:v>
                </c:pt>
                <c:pt idx="178">
                  <c:v>336.6028554190467</c:v>
                </c:pt>
                <c:pt idx="179">
                  <c:v>339.21003281405518</c:v>
                </c:pt>
                <c:pt idx="180">
                  <c:v>341.82255830276409</c:v>
                </c:pt>
                <c:pt idx="181">
                  <c:v>344.4403894709265</c:v>
                </c:pt>
                <c:pt idx="182">
                  <c:v>347.06348398076761</c:v>
                </c:pt>
                <c:pt idx="183">
                  <c:v>349.6917995718951</c:v>
                </c:pt>
                <c:pt idx="184">
                  <c:v>352.32529406219612</c:v>
                </c:pt>
                <c:pt idx="185">
                  <c:v>354.96392534872047</c:v>
                </c:pt>
                <c:pt idx="186">
                  <c:v>357.60765140855068</c:v>
                </c:pt>
                <c:pt idx="187">
                  <c:v>360.25643029965806</c:v>
                </c:pt>
                <c:pt idx="188">
                  <c:v>362.91022016174588</c:v>
                </c:pt>
                <c:pt idx="189">
                  <c:v>365.56897921707883</c:v>
                </c:pt>
                <c:pt idx="190">
                  <c:v>368.2326657712992</c:v>
                </c:pt>
                <c:pt idx="191">
                  <c:v>370.90123821422986</c:v>
                </c:pt>
                <c:pt idx="192">
                  <c:v>373.57465502066395</c:v>
                </c:pt>
                <c:pt idx="193">
                  <c:v>376.25287475114129</c:v>
                </c:pt>
                <c:pt idx="194">
                  <c:v>378.93585605271164</c:v>
                </c:pt>
                <c:pt idx="195">
                  <c:v>381.62355765968505</c:v>
                </c:pt>
                <c:pt idx="196">
                  <c:v>384.31593839436891</c:v>
                </c:pt>
                <c:pt idx="197">
                  <c:v>387.01295716779208</c:v>
                </c:pt>
                <c:pt idx="198">
                  <c:v>389.71457298041616</c:v>
                </c:pt>
                <c:pt idx="199">
                  <c:v>392.42074492283371</c:v>
                </c:pt>
                <c:pt idx="200">
                  <c:v>395.13143217645376</c:v>
                </c:pt>
                <c:pt idx="201">
                  <c:v>397.84659401417463</c:v>
                </c:pt>
                <c:pt idx="202">
                  <c:v>400.56618980104372</c:v>
                </c:pt>
                <c:pt idx="203">
                  <c:v>403.29017899490486</c:v>
                </c:pt>
                <c:pt idx="204">
                  <c:v>406.0185211470332</c:v>
                </c:pt>
                <c:pt idx="205">
                  <c:v>408.7511759027571</c:v>
                </c:pt>
                <c:pt idx="206">
                  <c:v>411.48810300206821</c:v>
                </c:pt>
                <c:pt idx="207">
                  <c:v>414.22926228021845</c:v>
                </c:pt>
                <c:pt idx="208">
                  <c:v>416.97461366830515</c:v>
                </c:pt>
                <c:pt idx="209">
                  <c:v>419.72411719384377</c:v>
                </c:pt>
                <c:pt idx="210">
                  <c:v>422.4777329813283</c:v>
                </c:pt>
                <c:pt idx="211">
                  <c:v>425.2354212527797</c:v>
                </c:pt>
                <c:pt idx="212">
                  <c:v>427.99714232828211</c:v>
                </c:pt>
                <c:pt idx="213">
                  <c:v>430.76285662650719</c:v>
                </c:pt>
                <c:pt idx="214">
                  <c:v>433.53252466522645</c:v>
                </c:pt>
                <c:pt idx="215">
                  <c:v>436.30610706181182</c:v>
                </c:pt>
                <c:pt idx="216">
                  <c:v>439.08356453372431</c:v>
                </c:pt>
                <c:pt idx="217">
                  <c:v>441.8648578989912</c:v>
                </c:pt>
                <c:pt idx="218">
                  <c:v>444.64994807667131</c:v>
                </c:pt>
                <c:pt idx="219">
                  <c:v>447.43879608730873</c:v>
                </c:pt>
                <c:pt idx="220">
                  <c:v>450.2313630533755</c:v>
                </c:pt>
                <c:pt idx="221">
                  <c:v>453.02761019970228</c:v>
                </c:pt>
                <c:pt idx="222">
                  <c:v>455.82749885389813</c:v>
                </c:pt>
                <c:pt idx="223">
                  <c:v>458.63099044675897</c:v>
                </c:pt>
                <c:pt idx="224">
                  <c:v>461.43804651266464</c:v>
                </c:pt>
                <c:pt idx="225">
                  <c:v>464.24862868996513</c:v>
                </c:pt>
                <c:pt idx="226">
                  <c:v>467.06269872135573</c:v>
                </c:pt>
                <c:pt idx="227">
                  <c:v>469.88021845424123</c:v>
                </c:pt>
                <c:pt idx="228">
                  <c:v>472.70114984108926</c:v>
                </c:pt>
                <c:pt idx="229">
                  <c:v>475.52545493977289</c:v>
                </c:pt>
                <c:pt idx="230">
                  <c:v>478.35309591390251</c:v>
                </c:pt>
                <c:pt idx="231">
                  <c:v>481.18403503314727</c:v>
                </c:pt>
                <c:pt idx="232">
                  <c:v>484.01823467354569</c:v>
                </c:pt>
                <c:pt idx="233">
                  <c:v>486.85565731780628</c:v>
                </c:pt>
                <c:pt idx="234">
                  <c:v>489.69626555559734</c:v>
                </c:pt>
                <c:pt idx="235">
                  <c:v>492.54002208382673</c:v>
                </c:pt>
                <c:pt idx="236">
                  <c:v>495.38688970691163</c:v>
                </c:pt>
                <c:pt idx="237">
                  <c:v>498.23683133703787</c:v>
                </c:pt>
                <c:pt idx="238">
                  <c:v>501.08980999440939</c:v>
                </c:pt>
                <c:pt idx="239">
                  <c:v>503.94578880748787</c:v>
                </c:pt>
                <c:pt idx="240">
                  <c:v>506.80473101322235</c:v>
                </c:pt>
                <c:pt idx="241">
                  <c:v>509.66659995726928</c:v>
                </c:pt>
                <c:pt idx="242">
                  <c:v>512.5313590942028</c:v>
                </c:pt>
                <c:pt idx="243">
                  <c:v>515.3989719877153</c:v>
                </c:pt>
                <c:pt idx="244">
                  <c:v>518.26940231080891</c:v>
                </c:pt>
                <c:pt idx="245">
                  <c:v>521.14261384597705</c:v>
                </c:pt>
                <c:pt idx="246">
                  <c:v>524.01857048537704</c:v>
                </c:pt>
                <c:pt idx="247">
                  <c:v>526.89723623099349</c:v>
                </c:pt>
                <c:pt idx="248">
                  <c:v>529.7785751947921</c:v>
                </c:pt>
                <c:pt idx="249">
                  <c:v>532.66255159886509</c:v>
                </c:pt>
                <c:pt idx="250">
                  <c:v>535.54912977556694</c:v>
                </c:pt>
                <c:pt idx="251">
                  <c:v>538.43827139841926</c:v>
                </c:pt>
                <c:pt idx="252">
                  <c:v>541.3299327204312</c:v>
                </c:pt>
                <c:pt idx="253">
                  <c:v>544.22406736100527</c:v>
                </c:pt>
                <c:pt idx="254">
                  <c:v>547.12062908546022</c:v>
                </c:pt>
                <c:pt idx="255">
                  <c:v>550.01957180521993</c:v>
                </c:pt>
                <c:pt idx="256">
                  <c:v>552.92084957798886</c:v>
                </c:pt>
                <c:pt idx="257">
                  <c:v>555.82441660791301</c:v>
                </c:pt>
                <c:pt idx="258">
                  <c:v>558.73022724572775</c:v>
                </c:pt>
                <c:pt idx="259">
                  <c:v>561.63823598889178</c:v>
                </c:pt>
                <c:pt idx="260">
                  <c:v>564.54839748170787</c:v>
                </c:pt>
                <c:pt idx="261">
                  <c:v>567.46066651543026</c:v>
                </c:pt>
                <c:pt idx="262">
                  <c:v>570.37499802835907</c:v>
                </c:pt>
                <c:pt idx="263">
                  <c:v>573.29134710592143</c:v>
                </c:pt>
                <c:pt idx="264">
                  <c:v>576.20966898074039</c:v>
                </c:pt>
                <c:pt idx="265">
                  <c:v>579.12991903269051</c:v>
                </c:pt>
                <c:pt idx="266">
                  <c:v>582.0520527889413</c:v>
                </c:pt>
                <c:pt idx="267">
                  <c:v>584.97602592398846</c:v>
                </c:pt>
                <c:pt idx="268">
                  <c:v>587.90179425967244</c:v>
                </c:pt>
                <c:pt idx="269">
                  <c:v>590.82931376518513</c:v>
                </c:pt>
                <c:pt idx="270">
                  <c:v>593.75854055706498</c:v>
                </c:pt>
                <c:pt idx="271">
                  <c:v>596.68943089917968</c:v>
                </c:pt>
                <c:pt idx="272">
                  <c:v>599.62194120269771</c:v>
                </c:pt>
                <c:pt idx="273">
                  <c:v>602.55602802604824</c:v>
                </c:pt>
                <c:pt idx="274">
                  <c:v>605.49164807486932</c:v>
                </c:pt>
                <c:pt idx="275">
                  <c:v>608.4287582019457</c:v>
                </c:pt>
                <c:pt idx="276">
                  <c:v>611.36731540713481</c:v>
                </c:pt>
                <c:pt idx="277">
                  <c:v>614.30727683728219</c:v>
                </c:pt>
                <c:pt idx="278">
                  <c:v>617.24859978612585</c:v>
                </c:pt>
                <c:pt idx="279">
                  <c:v>620.19124169419069</c:v>
                </c:pt>
                <c:pt idx="280">
                  <c:v>623.13516014867139</c:v>
                </c:pt>
                <c:pt idx="281">
                  <c:v>626.08031288330585</c:v>
                </c:pt>
                <c:pt idx="282">
                  <c:v>629.0266577782379</c:v>
                </c:pt>
                <c:pt idx="283">
                  <c:v>631.97415285987029</c:v>
                </c:pt>
                <c:pt idx="284">
                  <c:v>634.92275630070731</c:v>
                </c:pt>
                <c:pt idx="285">
                  <c:v>637.87242641918806</c:v>
                </c:pt>
                <c:pt idx="286">
                  <c:v>640.82312167950988</c:v>
                </c:pt>
                <c:pt idx="287">
                  <c:v>643.77480069144224</c:v>
                </c:pt>
                <c:pt idx="288">
                  <c:v>646.72742221013118</c:v>
                </c:pt>
                <c:pt idx="289">
                  <c:v>649.68094513589472</c:v>
                </c:pt>
                <c:pt idx="290">
                  <c:v>652.63532851400896</c:v>
                </c:pt>
                <c:pt idx="291">
                  <c:v>655.59053153448519</c:v>
                </c:pt>
                <c:pt idx="292">
                  <c:v>658.54651353183851</c:v>
                </c:pt>
                <c:pt idx="293">
                  <c:v>661.50323398484727</c:v>
                </c:pt>
                <c:pt idx="294">
                  <c:v>664.46065251630421</c:v>
                </c:pt>
                <c:pt idx="295">
                  <c:v>667.41872889275896</c:v>
                </c:pt>
                <c:pt idx="296">
                  <c:v>670.37742302425261</c:v>
                </c:pt>
                <c:pt idx="297">
                  <c:v>673.33669496404377</c:v>
                </c:pt>
                <c:pt idx="298">
                  <c:v>676.29647430934915</c:v>
                </c:pt>
                <c:pt idx="299">
                  <c:v>679.25662970024234</c:v>
                </c:pt>
                <c:pt idx="300">
                  <c:v>682.21699963949482</c:v>
                </c:pt>
                <c:pt idx="301">
                  <c:v>685.17742321519722</c:v>
                </c:pt>
                <c:pt idx="302">
                  <c:v>688.13774010228497</c:v>
                </c:pt>
                <c:pt idx="303">
                  <c:v>691.09779056391767</c:v>
                </c:pt>
                <c:pt idx="304">
                  <c:v>694.0574154527128</c:v>
                </c:pt>
                <c:pt idx="305">
                  <c:v>697.01645621183729</c:v>
                </c:pt>
                <c:pt idx="306">
                  <c:v>699.97475487595773</c:v>
                </c:pt>
                <c:pt idx="307">
                  <c:v>702.9321540720515</c:v>
                </c:pt>
                <c:pt idx="308">
                  <c:v>705.8884970200819</c:v>
                </c:pt>
                <c:pt idx="309">
                  <c:v>708.84362753353707</c:v>
                </c:pt>
                <c:pt idx="310">
                  <c:v>711.79739001983717</c:v>
                </c:pt>
                <c:pt idx="311">
                  <c:v>714.74962948060943</c:v>
                </c:pt>
                <c:pt idx="312">
                  <c:v>717.70019151183567</c:v>
                </c:pt>
                <c:pt idx="313">
                  <c:v>720.64892230387136</c:v>
                </c:pt>
                <c:pt idx="314">
                  <c:v>723.59566864134092</c:v>
                </c:pt>
                <c:pt idx="315">
                  <c:v>726.54027790290945</c:v>
                </c:pt>
                <c:pt idx="316">
                  <c:v>729.48259806093381</c:v>
                </c:pt>
                <c:pt idx="317">
                  <c:v>732.42247768099435</c:v>
                </c:pt>
                <c:pt idx="318">
                  <c:v>735.35976592130987</c:v>
                </c:pt>
                <c:pt idx="319">
                  <c:v>738.29431253203791</c:v>
                </c:pt>
                <c:pt idx="320">
                  <c:v>741.22596785446115</c:v>
                </c:pt>
                <c:pt idx="321">
                  <c:v>744.15459501406895</c:v>
                </c:pt>
                <c:pt idx="322">
                  <c:v>747.08008206564102</c:v>
                </c:pt>
                <c:pt idx="323">
                  <c:v>750.00232969730439</c:v>
                </c:pt>
                <c:pt idx="324">
                  <c:v>752.92123898225566</c:v>
                </c:pt>
                <c:pt idx="325">
                  <c:v>755.83671137720887</c:v>
                </c:pt>
                <c:pt idx="326">
                  <c:v>758.74864872080457</c:v>
                </c:pt>
                <c:pt idx="327">
                  <c:v>761.65695323198054</c:v>
                </c:pt>
                <c:pt idx="328">
                  <c:v>764.56152750830597</c:v>
                </c:pt>
                <c:pt idx="329">
                  <c:v>767.46227452427888</c:v>
                </c:pt>
                <c:pt idx="330">
                  <c:v>770.35909762958784</c:v>
                </c:pt>
                <c:pt idx="331">
                  <c:v>773.25190054733946</c:v>
                </c:pt>
                <c:pt idx="332">
                  <c:v>776.14058737225184</c:v>
                </c:pt>
                <c:pt idx="333">
                  <c:v>779.02506256881418</c:v>
                </c:pt>
                <c:pt idx="334">
                  <c:v>781.90523096941467</c:v>
                </c:pt>
                <c:pt idx="335">
                  <c:v>784.78099777243631</c:v>
                </c:pt>
                <c:pt idx="336">
                  <c:v>787.65226854032164</c:v>
                </c:pt>
                <c:pt idx="337">
                  <c:v>790.51894919760764</c:v>
                </c:pt>
                <c:pt idx="338">
                  <c:v>793.38094602893091</c:v>
                </c:pt>
                <c:pt idx="339">
                  <c:v>796.23816567700374</c:v>
                </c:pt>
                <c:pt idx="340">
                  <c:v>799.09051514056284</c:v>
                </c:pt>
                <c:pt idx="341">
                  <c:v>801.93790177228971</c:v>
                </c:pt>
                <c:pt idx="342">
                  <c:v>804.78023327670508</c:v>
                </c:pt>
                <c:pt idx="343">
                  <c:v>807.6174177080369</c:v>
                </c:pt>
                <c:pt idx="344">
                  <c:v>810.4493634680631</c:v>
                </c:pt>
                <c:pt idx="345">
                  <c:v>813.2759793039296</c:v>
                </c:pt>
                <c:pt idx="346">
                  <c:v>816.09717430594401</c:v>
                </c:pt>
                <c:pt idx="347">
                  <c:v>818.91285790534641</c:v>
                </c:pt>
                <c:pt idx="348">
                  <c:v>821.72294118822538</c:v>
                </c:pt>
                <c:pt idx="349">
                  <c:v>824.52733820371998</c:v>
                </c:pt>
                <c:pt idx="350">
                  <c:v>827.32596463408004</c:v>
                </c:pt>
                <c:pt idx="351">
                  <c:v>830.1187364704416</c:v>
                </c:pt>
                <c:pt idx="352">
                  <c:v>832.90557001058255</c:v>
                </c:pt>
                <c:pt idx="353">
                  <c:v>835.68638185666168</c:v>
                </c:pt>
                <c:pt idx="354">
                  <c:v>838.46108891294227</c:v>
                </c:pt>
                <c:pt idx="355">
                  <c:v>841.2296083835007</c:v>
                </c:pt>
                <c:pt idx="356">
                  <c:v>843.99185776992022</c:v>
                </c:pt>
                <c:pt idx="357">
                  <c:v>846.74775486897045</c:v>
                </c:pt>
                <c:pt idx="358">
                  <c:v>849.49721777027344</c:v>
                </c:pt>
                <c:pt idx="359">
                  <c:v>852.24016485395634</c:v>
                </c:pt>
                <c:pt idx="360">
                  <c:v>854.97654215868852</c:v>
                </c:pt>
                <c:pt idx="361">
                  <c:v>857.70635062848544</c:v>
                </c:pt>
                <c:pt idx="362">
                  <c:v>860.42961849976757</c:v>
                </c:pt>
                <c:pt idx="363">
                  <c:v>863.14637381175601</c:v>
                </c:pt>
                <c:pt idx="364">
                  <c:v>865.85664440831601</c:v>
                </c:pt>
                <c:pt idx="365">
                  <c:v>868.56045793977842</c:v>
                </c:pt>
                <c:pt idx="366">
                  <c:v>871.25784186474016</c:v>
                </c:pt>
                <c:pt idx="367">
                  <c:v>873.9488234518434</c:v>
                </c:pt>
                <c:pt idx="368">
                  <c:v>876.63342978153457</c:v>
                </c:pt>
                <c:pt idx="369">
                  <c:v>879.31168774780201</c:v>
                </c:pt>
                <c:pt idx="370">
                  <c:v>881.98362405989451</c:v>
                </c:pt>
                <c:pt idx="371">
                  <c:v>884.64926524401915</c:v>
                </c:pt>
                <c:pt idx="372">
                  <c:v>887.30863764501999</c:v>
                </c:pt>
                <c:pt idx="373">
                  <c:v>889.96176742803766</c:v>
                </c:pt>
                <c:pt idx="374">
                  <c:v>892.60868058014921</c:v>
                </c:pt>
                <c:pt idx="375">
                  <c:v>895.2494029119897</c:v>
                </c:pt>
                <c:pt idx="376">
                  <c:v>897.88396005935545</c:v>
                </c:pt>
                <c:pt idx="377">
                  <c:v>900.5123774847882</c:v>
                </c:pt>
                <c:pt idx="378">
                  <c:v>903.13468047914216</c:v>
                </c:pt>
                <c:pt idx="379">
                  <c:v>905.75089416313267</c:v>
                </c:pt>
                <c:pt idx="380">
                  <c:v>908.36104348886784</c:v>
                </c:pt>
                <c:pt idx="381">
                  <c:v>910.96515324136226</c:v>
                </c:pt>
                <c:pt idx="382">
                  <c:v>913.56324804003418</c:v>
                </c:pt>
                <c:pt idx="383">
                  <c:v>916.1553523401858</c:v>
                </c:pt>
                <c:pt idx="384">
                  <c:v>918.74149043446653</c:v>
                </c:pt>
                <c:pt idx="385">
                  <c:v>921.32168645432034</c:v>
                </c:pt>
                <c:pt idx="386">
                  <c:v>923.89596437141699</c:v>
                </c:pt>
                <c:pt idx="387">
                  <c:v>926.46434799906694</c:v>
                </c:pt>
                <c:pt idx="388">
                  <c:v>929.02686099362063</c:v>
                </c:pt>
                <c:pt idx="389">
                  <c:v>931.58352685585248</c:v>
                </c:pt>
                <c:pt idx="390">
                  <c:v>934.13436893232949</c:v>
                </c:pt>
                <c:pt idx="391">
                  <c:v>936.67941041676465</c:v>
                </c:pt>
                <c:pt idx="392">
                  <c:v>939.21867435135528</c:v>
                </c:pt>
                <c:pt idx="393">
                  <c:v>941.75218362810699</c:v>
                </c:pt>
                <c:pt idx="394">
                  <c:v>944.27996099014331</c:v>
                </c:pt>
                <c:pt idx="395">
                  <c:v>946.80202903300005</c:v>
                </c:pt>
                <c:pt idx="396">
                  <c:v>949.31841020590662</c:v>
                </c:pt>
                <c:pt idx="397">
                  <c:v>951.82912681305288</c:v>
                </c:pt>
                <c:pt idx="398">
                  <c:v>954.33420101484217</c:v>
                </c:pt>
                <c:pt idx="399">
                  <c:v>956.83365482913075</c:v>
                </c:pt>
                <c:pt idx="400">
                  <c:v>959.32751013245434</c:v>
                </c:pt>
                <c:pt idx="401">
                  <c:v>983.95982806633049</c:v>
                </c:pt>
                <c:pt idx="402">
                  <c:v>1008.0461850599833</c:v>
                </c:pt>
                <c:pt idx="403">
                  <c:v>1031.6071871818347</c:v>
                </c:pt>
                <c:pt idx="404">
                  <c:v>1054.6621739207383</c:v>
                </c:pt>
                <c:pt idx="405">
                  <c:v>1077.2293207328221</c:v>
                </c:pt>
                <c:pt idx="406">
                  <c:v>1099.3257313242746</c:v>
                </c:pt>
                <c:pt idx="407">
                  <c:v>1120.9675208855283</c:v>
                </c:pt>
                <c:pt idx="408">
                  <c:v>1142.1698913268979</c:v>
                </c:pt>
                <c:pt idx="409">
                  <c:v>1162.947199425651</c:v>
                </c:pt>
                <c:pt idx="410">
                  <c:v>1183.3130186754493</c:v>
                </c:pt>
                <c:pt idx="411">
                  <c:v>1203.2801955275715</c:v>
                </c:pt>
                <c:pt idx="412">
                  <c:v>1222.8609006264969</c:v>
                </c:pt>
                <c:pt idx="413">
                  <c:v>1242.0666755678985</c:v>
                </c:pt>
                <c:pt idx="414">
                  <c:v>1260.9084756429668</c:v>
                </c:pt>
                <c:pt idx="415">
                  <c:v>1279.3967089776197</c:v>
                </c:pt>
                <c:pt idx="416">
                  <c:v>1297.5412724272512</c:v>
                </c:pt>
                <c:pt idx="417">
                  <c:v>1315.351584546094</c:v>
                </c:pt>
                <c:pt idx="418">
                  <c:v>1332.8366159141028</c:v>
                </c:pt>
                <c:pt idx="419">
                  <c:v>1350.0049170727225</c:v>
                </c:pt>
                <c:pt idx="420">
                  <c:v>1366.8646442933325</c:v>
                </c:pt>
                <c:pt idx="421">
                  <c:v>1383.4235833779983</c:v>
                </c:pt>
                <c:pt idx="422">
                  <c:v>1399.6891716709438</c:v>
                </c:pt>
                <c:pt idx="423">
                  <c:v>1415.6685184404942</c:v>
                </c:pt>
                <c:pt idx="424">
                  <c:v>1431.3684237747725</c:v>
                </c:pt>
                <c:pt idx="425">
                  <c:v>1446.7953961198873</c:v>
                </c:pt>
                <c:pt idx="426">
                  <c:v>1461.9556685764751</c:v>
                </c:pt>
                <c:pt idx="427">
                  <c:v>1476.855214059035</c:v>
                </c:pt>
                <c:pt idx="428">
                  <c:v>1491.4997594123483</c:v>
                </c:pt>
                <c:pt idx="429">
                  <c:v>1505.8947985702378</c:v>
                </c:pt>
                <c:pt idx="430">
                  <c:v>1520.0456048338697</c:v>
                </c:pt>
                <c:pt idx="431">
                  <c:v>1533.9572423396069</c:v>
                </c:pt>
                <c:pt idx="432">
                  <c:v>1547.6345767799812</c:v>
                </c:pt>
                <c:pt idx="433">
                  <c:v>1561.0822854355936</c:v>
                </c:pt>
                <c:pt idx="434">
                  <c:v>1574.3048665705676</c:v>
                </c:pt>
                <c:pt idx="435">
                  <c:v>1587.3066482395388</c:v>
                </c:pt>
                <c:pt idx="436">
                  <c:v>1600.0917965499723</c:v>
                </c:pt>
                <c:pt idx="437">
                  <c:v>1612.6643234198289</c:v>
                </c:pt>
                <c:pt idx="438">
                  <c:v>1625.0280938672004</c:v>
                </c:pt>
                <c:pt idx="439">
                  <c:v>1637.1868328654512</c:v>
                </c:pt>
                <c:pt idx="440">
                  <c:v>1649.1441317946246</c:v>
                </c:pt>
                <c:pt idx="441">
                  <c:v>1660.9034545173502</c:v>
                </c:pt>
                <c:pt idx="442">
                  <c:v>1672.4681431051963</c:v>
                </c:pt>
                <c:pt idx="443">
                  <c:v>1683.8414232393395</c:v>
                </c:pt>
                <c:pt idx="444">
                  <c:v>1695.0264093075298</c:v>
                </c:pt>
                <c:pt idx="445">
                  <c:v>1706.0261092176106</c:v>
                </c:pt>
                <c:pt idx="446">
                  <c:v>1716.8434289462873</c:v>
                </c:pt>
                <c:pt idx="447">
                  <c:v>1727.481176840407</c:v>
                </c:pt>
                <c:pt idx="448">
                  <c:v>1737.9420676867044</c:v>
                </c:pt>
                <c:pt idx="449">
                  <c:v>1748.2287265647778</c:v>
                </c:pt>
                <c:pt idx="450">
                  <c:v>1758.3436924969649</c:v>
                </c:pt>
                <c:pt idx="451">
                  <c:v>1768.289421907785</c:v>
                </c:pt>
                <c:pt idx="452">
                  <c:v>1778.0682919047022</c:v>
                </c:pt>
                <c:pt idx="453">
                  <c:v>1787.6826033911148</c:v>
                </c:pt>
                <c:pt idx="454">
                  <c:v>1797.1345840217057</c:v>
                </c:pt>
                <c:pt idx="455">
                  <c:v>1806.4263910095788</c:v>
                </c:pt>
                <c:pt idx="456">
                  <c:v>1815.560113793945</c:v>
                </c:pt>
                <c:pt idx="457">
                  <c:v>1824.5377765765263</c:v>
                </c:pt>
                <c:pt idx="458">
                  <c:v>1833.3613407342839</c:v>
                </c:pt>
                <c:pt idx="459">
                  <c:v>1842.0327071155643</c:v>
                </c:pt>
                <c:pt idx="460">
                  <c:v>1850.5537182262879</c:v>
                </c:pt>
                <c:pt idx="461">
                  <c:v>1858.9261603123596</c:v>
                </c:pt>
                <c:pt idx="462">
                  <c:v>1867.1517653440819</c:v>
                </c:pt>
                <c:pt idx="463">
                  <c:v>1875.2322129079728</c:v>
                </c:pt>
                <c:pt idx="464">
                  <c:v>1883.1691320110449</c:v>
                </c:pt>
                <c:pt idx="465">
                  <c:v>1890.9641028022809</c:v>
                </c:pt>
                <c:pt idx="466">
                  <c:v>1898.61865821574</c:v>
                </c:pt>
                <c:pt idx="467">
                  <c:v>1906.134285539455</c:v>
                </c:pt>
                <c:pt idx="468">
                  <c:v>1913.5124279140234</c:v>
                </c:pt>
                <c:pt idx="469">
                  <c:v>1920.7544857645526</c:v>
                </c:pt>
                <c:pt idx="470">
                  <c:v>1927.8618181694021</c:v>
                </c:pt>
                <c:pt idx="471">
                  <c:v>1934.8357441689566</c:v>
                </c:pt>
                <c:pt idx="472">
                  <c:v>1941.6775440174697</c:v>
                </c:pt>
                <c:pt idx="473">
                  <c:v>1948.3884603808444</c:v>
                </c:pt>
                <c:pt idx="474">
                  <c:v>1954.9696994830424</c:v>
                </c:pt>
                <c:pt idx="475">
                  <c:v>1961.4224322036653</c:v>
                </c:pt>
                <c:pt idx="476">
                  <c:v>1967.747795129101</c:v>
                </c:pt>
                <c:pt idx="477">
                  <c:v>1973.9468915594985</c:v>
                </c:pt>
                <c:pt idx="478">
                  <c:v>1980.0207924737019</c:v>
                </c:pt>
                <c:pt idx="479">
                  <c:v>1985.9705374541638</c:v>
                </c:pt>
                <c:pt idx="480">
                  <c:v>1991.7971355737438</c:v>
                </c:pt>
                <c:pt idx="481">
                  <c:v>1997.5015662461981</c:v>
                </c:pt>
                <c:pt idx="482">
                  <c:v>2003.0847800420711</c:v>
                </c:pt>
                <c:pt idx="483">
                  <c:v>2008.5476994716109</c:v>
                </c:pt>
                <c:pt idx="484">
                  <c:v>2013.8912197362474</c:v>
                </c:pt>
                <c:pt idx="485">
                  <c:v>2019.116209450098</c:v>
                </c:pt>
                <c:pt idx="486">
                  <c:v>2024.2235113328923</c:v>
                </c:pt>
                <c:pt idx="487">
                  <c:v>2029.2139428756429</c:v>
                </c:pt>
                <c:pt idx="488">
                  <c:v>2034.0882969803306</c:v>
                </c:pt>
                <c:pt idx="489">
                  <c:v>2038.8473425748114</c:v>
                </c:pt>
                <c:pt idx="490">
                  <c:v>2043.4918252041105</c:v>
                </c:pt>
                <c:pt idx="491">
                  <c:v>2048.0224675992131</c:v>
                </c:pt>
                <c:pt idx="492">
                  <c:v>2052.43997022443</c:v>
                </c:pt>
                <c:pt idx="493">
                  <c:v>2056.745011804368</c:v>
                </c:pt>
                <c:pt idx="494">
                  <c:v>2060.9382498315153</c:v>
                </c:pt>
                <c:pt idx="495">
                  <c:v>2065.0203210554164</c:v>
                </c:pt>
                <c:pt idx="496">
                  <c:v>2068.9918419543851</c:v>
                </c:pt>
                <c:pt idx="497">
                  <c:v>2072.8534091907018</c:v>
                </c:pt>
                <c:pt idx="498">
                  <c:v>2076.6056000502076</c:v>
                </c:pt>
                <c:pt idx="499">
                  <c:v>2080.2489728672176</c:v>
                </c:pt>
                <c:pt idx="500">
                  <c:v>2083.7840674356667</c:v>
                </c:pt>
                <c:pt idx="501">
                  <c:v>2087.2114054074027</c:v>
                </c:pt>
                <c:pt idx="502">
                  <c:v>2090.5314906785634</c:v>
                </c:pt>
                <c:pt idx="503">
                  <c:v>2093.7448097649776</c:v>
                </c:pt>
                <c:pt idx="504">
                  <c:v>2096.8518321675706</c:v>
                </c:pt>
                <c:pt idx="505">
                  <c:v>2099.8530107287779</c:v>
                </c:pt>
                <c:pt idx="506">
                  <c:v>2102.7487819810194</c:v>
                </c:pt>
                <c:pt idx="507">
                  <c:v>2105.5395664883395</c:v>
                </c:pt>
                <c:pt idx="508">
                  <c:v>2108.2257691823761</c:v>
                </c:pt>
                <c:pt idx="509">
                  <c:v>2110.807779693906</c:v>
                </c:pt>
                <c:pt idx="510">
                  <c:v>2113.2859726812926</c:v>
                </c:pt>
                <c:pt idx="511">
                  <c:v>2115.6607081572611</c:v>
                </c:pt>
                <c:pt idx="512">
                  <c:v>2117.932331815548</c:v>
                </c:pt>
                <c:pt idx="513">
                  <c:v>2120.1011753590815</c:v>
                </c:pt>
                <c:pt idx="514">
                  <c:v>2122.1675568315004</c:v>
                </c:pt>
                <c:pt idx="515">
                  <c:v>2124.1317809539551</c:v>
                </c:pt>
                <c:pt idx="516">
                  <c:v>2125.9941394693001</c:v>
                </c:pt>
                <c:pt idx="517">
                  <c:v>2127.7549114959402</c:v>
                </c:pt>
                <c:pt idx="518">
                  <c:v>2129.4143638937599</c:v>
                </c:pt>
                <c:pt idx="519">
                  <c:v>2130.9727516447097</c:v>
                </c:pt>
                <c:pt idx="520">
                  <c:v>2132.4303182507697</c:v>
                </c:pt>
                <c:pt idx="521">
                  <c:v>2133.7872961521034</c:v>
                </c:pt>
                <c:pt idx="522">
                  <c:v>2135.0439071682822</c:v>
                </c:pt>
                <c:pt idx="523">
                  <c:v>2136.200362965456</c:v>
                </c:pt>
                <c:pt idx="524">
                  <c:v>2137.2568655522532</c:v>
                </c:pt>
                <c:pt idx="525">
                  <c:v>2138.2136078070039</c:v>
                </c:pt>
                <c:pt idx="526">
                  <c:v>2139.0707740385515</c:v>
                </c:pt>
                <c:pt idx="527">
                  <c:v>2139.8285405824527</c:v>
                </c:pt>
                <c:pt idx="528">
                  <c:v>2140.4870764337247</c:v>
                </c:pt>
                <c:pt idx="529">
                  <c:v>2141.0465439165023</c:v>
                </c:pt>
                <c:pt idx="530">
                  <c:v>2141.5070993900003</c:v>
                </c:pt>
                <c:pt idx="531">
                  <c:v>2141.8688939890753</c:v>
                </c:pt>
                <c:pt idx="532">
                  <c:v>2142.1320743964789</c:v>
                </c:pt>
                <c:pt idx="533">
                  <c:v>2142.2967836426533</c:v>
                </c:pt>
                <c:pt idx="534">
                  <c:v>2142.3631619277116</c:v>
                </c:pt>
                <c:pt idx="535">
                  <c:v>2142.3313474591496</c:v>
                </c:pt>
                <c:pt idx="536">
                  <c:v>2142.2014772979314</c:v>
                </c:pt>
                <c:pt idx="537">
                  <c:v>2141.9736882049715</c:v>
                </c:pt>
                <c:pt idx="538">
                  <c:v>2141.6481174797218</c:v>
                </c:pt>
                <c:pt idx="539">
                  <c:v>2141.2249037826227</c:v>
                </c:pt>
                <c:pt idx="540">
                  <c:v>2140.7041879335679</c:v>
                </c:pt>
                <c:pt idx="541">
                  <c:v>2140.0861136792423</c:v>
                </c:pt>
                <c:pt idx="542">
                  <c:v>2139.3708284231539</c:v>
                </c:pt>
                <c:pt idx="543">
                  <c:v>2138.5584839133212</c:v>
                </c:pt>
                <c:pt idx="544">
                  <c:v>2137.6492368838085</c:v>
                </c:pt>
                <c:pt idx="545">
                  <c:v>2136.6432496475531</c:v>
                </c:pt>
                <c:pt idx="546">
                  <c:v>2135.5406906391067</c:v>
                </c:pt>
                <c:pt idx="547">
                  <c:v>2134.3417349070019</c:v>
                </c:pt>
                <c:pt idx="548">
                  <c:v>2133.0465645563636</c:v>
                </c:pt>
                <c:pt idx="549">
                  <c:v>2131.6553691431591</c:v>
                </c:pt>
                <c:pt idx="550">
                  <c:v>2130.1683460220479</c:v>
                </c:pt>
                <c:pt idx="551">
                  <c:v>2128.5857006502288</c:v>
                </c:pt>
                <c:pt idx="552">
                  <c:v>2126.9076468499461</c:v>
                </c:pt>
                <c:pt idx="553">
                  <c:v>2125.1344070324708</c:v>
                </c:pt>
                <c:pt idx="554">
                  <c:v>2123.2662123864152</c:v>
                </c:pt>
                <c:pt idx="555">
                  <c:v>2121.3033030332108</c:v>
                </c:pt>
                <c:pt idx="556">
                  <c:v>2119.2459281524789</c:v>
                </c:pt>
                <c:pt idx="557">
                  <c:v>2117.0943460798962</c:v>
                </c:pt>
                <c:pt idx="558">
                  <c:v>2114.8488243799916</c:v>
                </c:pt>
                <c:pt idx="559">
                  <c:v>2112.5096398961368</c:v>
                </c:pt>
                <c:pt idx="560">
                  <c:v>2110.0770787798115</c:v>
                </c:pt>
                <c:pt idx="561">
                  <c:v>2107.5514365010449</c:v>
                </c:pt>
                <c:pt idx="562">
                  <c:v>2104.9330178417645</c:v>
                </c:pt>
                <c:pt idx="563">
                  <c:v>2102.2221368736127</c:v>
                </c:pt>
                <c:pt idx="564">
                  <c:v>2099.419116921646</c:v>
                </c:pt>
                <c:pt idx="565">
                  <c:v>2096.524290515189</c:v>
                </c:pt>
                <c:pt idx="566">
                  <c:v>2093.5379993269858</c:v>
                </c:pt>
                <c:pt idx="567">
                  <c:v>2090.4605941016771</c:v>
                </c:pt>
                <c:pt idx="568">
                  <c:v>2087.2924345745323</c:v>
                </c:pt>
                <c:pt idx="569">
                  <c:v>2084.0338893812645</c:v>
                </c:pt>
                <c:pt idx="570">
                  <c:v>2080.6853359596807</c:v>
                </c:pt>
                <c:pt idx="571">
                  <c:v>2077.2471604438483</c:v>
                </c:pt>
                <c:pt idx="572">
                  <c:v>2073.7197575513856</c:v>
                </c:pt>
                <c:pt idx="573">
                  <c:v>2070.1035304644356</c:v>
                </c:pt>
                <c:pt idx="574">
                  <c:v>2066.398890704832</c:v>
                </c:pt>
                <c:pt idx="575">
                  <c:v>2062.6062580039134</c:v>
                </c:pt>
                <c:pt idx="576">
                  <c:v>2058.7260601674161</c:v>
                </c:pt>
                <c:pt idx="577">
                  <c:v>2054.7587329358275</c:v>
                </c:pt>
                <c:pt idx="578">
                  <c:v>2050.7047198405635</c:v>
                </c:pt>
                <c:pt idx="579">
                  <c:v>2046.5644720563018</c:v>
                </c:pt>
                <c:pt idx="580">
                  <c:v>2042.3384482497786</c:v>
                </c:pt>
                <c:pt idx="581">
                  <c:v>2038.0271144253359</c:v>
                </c:pt>
                <c:pt idx="582">
                  <c:v>2033.630943767492</c:v>
                </c:pt>
                <c:pt idx="583">
                  <c:v>2029.1504164807866</c:v>
                </c:pt>
                <c:pt idx="584">
                  <c:v>2024.5860196271387</c:v>
                </c:pt>
                <c:pt idx="585">
                  <c:v>2019.938246960945</c:v>
                </c:pt>
                <c:pt idx="586">
                  <c:v>2015.2075987621315</c:v>
                </c:pt>
                <c:pt idx="587">
                  <c:v>2010.3945816673638</c:v>
                </c:pt>
                <c:pt idx="588">
                  <c:v>2005.4997084996087</c:v>
                </c:pt>
                <c:pt idx="589">
                  <c:v>2000.5234980962339</c:v>
                </c:pt>
                <c:pt idx="590">
                  <c:v>1995.4664751358241</c:v>
                </c:pt>
                <c:pt idx="591">
                  <c:v>1990.3291699638842</c:v>
                </c:pt>
                <c:pt idx="592">
                  <c:v>1985.1121184175936</c:v>
                </c:pt>
                <c:pt idx="593">
                  <c:v>1979.8158616497713</c:v>
                </c:pt>
                <c:pt idx="594">
                  <c:v>1974.4409459522028</c:v>
                </c:pt>
                <c:pt idx="595">
                  <c:v>1968.9879225784773</c:v>
                </c:pt>
                <c:pt idx="596">
                  <c:v>1963.4573475664779</c:v>
                </c:pt>
                <c:pt idx="597">
                  <c:v>1957.8497815606615</c:v>
                </c:pt>
                <c:pt idx="598">
                  <c:v>1952.1657896342633</c:v>
                </c:pt>
                <c:pt idx="599">
                  <c:v>1946.4059411115534</c:v>
                </c:pt>
                <c:pt idx="600">
                  <c:v>1940.5708093902715</c:v>
                </c:pt>
                <c:pt idx="601">
                  <c:v>1934.6609717643603</c:v>
                </c:pt>
                <c:pt idx="602">
                  <c:v>1928.6770092471149</c:v>
                </c:pt>
                <c:pt idx="603">
                  <c:v>1922.6195063948624</c:v>
                </c:pt>
                <c:pt idx="604">
                  <c:v>1916.4890511312794</c:v>
                </c:pt>
                <c:pt idx="605">
                  <c:v>1910.2862345724573</c:v>
                </c:pt>
                <c:pt idx="606">
                  <c:v>1904.0116508528142</c:v>
                </c:pt>
                <c:pt idx="607">
                  <c:v>1897.6658969519569</c:v>
                </c:pt>
                <c:pt idx="608">
                  <c:v>1891.2495725225851</c:v>
                </c:pt>
                <c:pt idx="609">
                  <c:v>1884.7632797195338</c:v>
                </c:pt>
                <c:pt idx="610">
                  <c:v>1878.207623030042</c:v>
                </c:pt>
                <c:pt idx="611">
                  <c:v>1871.5832091053342</c:v>
                </c:pt>
                <c:pt idx="612">
                  <c:v>1864.890646593597</c:v>
                </c:pt>
                <c:pt idx="613">
                  <c:v>1858.1305459744324</c:v>
                </c:pt>
                <c:pt idx="614">
                  <c:v>1851.3035193948631</c:v>
                </c:pt>
                <c:pt idx="615">
                  <c:v>1844.4101805069636</c:v>
                </c:pt>
                <c:pt idx="616">
                  <c:v>1837.4511443071888</c:v>
                </c:pt>
                <c:pt idx="617">
                  <c:v>1830.4270269774661</c:v>
                </c:pt>
                <c:pt idx="618">
                  <c:v>1823.3384457281165</c:v>
                </c:pt>
                <c:pt idx="619">
                  <c:v>1816.1860186426659</c:v>
                </c:pt>
                <c:pt idx="620">
                  <c:v>1808.9703645246043</c:v>
                </c:pt>
                <c:pt idx="621">
                  <c:v>1801.6921027461503</c:v>
                </c:pt>
                <c:pt idx="622">
                  <c:v>1794.3518530990718</c:v>
                </c:pt>
                <c:pt idx="623">
                  <c:v>1786.9502356476132</c:v>
                </c:pt>
                <c:pt idx="624">
                  <c:v>1779.4878705835763</c:v>
                </c:pt>
                <c:pt idx="625">
                  <c:v>1771.9653780835988</c:v>
                </c:pt>
                <c:pt idx="626">
                  <c:v>1764.3833781686719</c:v>
                </c:pt>
                <c:pt idx="627">
                  <c:v>1756.7424905659348</c:v>
                </c:pt>
                <c:pt idx="628">
                  <c:v>1749.0433345727824</c:v>
                </c:pt>
                <c:pt idx="629">
                  <c:v>1741.2865289233214</c:v>
                </c:pt>
                <c:pt idx="630">
                  <c:v>1733.4726916572004</c:v>
                </c:pt>
                <c:pt idx="631">
                  <c:v>1725.6024399908474</c:v>
                </c:pt>
                <c:pt idx="632">
                  <c:v>1717.6763901911377</c:v>
                </c:pt>
                <c:pt idx="633">
                  <c:v>1709.695157451514</c:v>
                </c:pt>
                <c:pt idx="634">
                  <c:v>1701.6593557705817</c:v>
                </c:pt>
                <c:pt idx="635">
                  <c:v>1693.5695978331958</c:v>
                </c:pt>
                <c:pt idx="636">
                  <c:v>1685.4264948940558</c:v>
                </c:pt>
                <c:pt idx="637">
                  <c:v>1677.2306566638226</c:v>
                </c:pt>
                <c:pt idx="638">
                  <c:v>1668.9826911977666</c:v>
                </c:pt>
                <c:pt idx="639">
                  <c:v>1660.6832047869586</c:v>
                </c:pt>
                <c:pt idx="640">
                  <c:v>1652.332801852009</c:v>
                </c:pt>
                <c:pt idx="641">
                  <c:v>1643.9320848393602</c:v>
                </c:pt>
                <c:pt idx="642">
                  <c:v>1635.4816541201349</c:v>
                </c:pt>
                <c:pt idx="643">
                  <c:v>1626.9821078915415</c:v>
                </c:pt>
                <c:pt idx="644">
                  <c:v>1618.4340420808355</c:v>
                </c:pt>
                <c:pt idx="645">
                  <c:v>1609.8380502518323</c:v>
                </c:pt>
                <c:pt idx="646">
                  <c:v>1601.1947235139701</c:v>
                </c:pt>
                <c:pt idx="647">
                  <c:v>1592.5046504339118</c:v>
                </c:pt>
                <c:pt idx="648">
                  <c:v>1583.7684169496818</c:v>
                </c:pt>
                <c:pt idx="649">
                  <c:v>1574.986606287325</c:v>
                </c:pt>
                <c:pt idx="650">
                  <c:v>1566.1597988800772</c:v>
                </c:pt>
                <c:pt idx="651">
                  <c:v>1557.2885722900353</c:v>
                </c:pt>
                <c:pt idx="652">
                  <c:v>1548.3735011323104</c:v>
                </c:pt>
                <c:pt idx="653">
                  <c:v>1539.4151570016497</c:v>
                </c:pt>
                <c:pt idx="654">
                  <c:v>1530.4141084015093</c:v>
                </c:pt>
                <c:pt idx="655">
                  <c:v>1521.37092067556</c:v>
                </c:pt>
                <c:pt idx="656">
                  <c:v>1512.2861559416044</c:v>
                </c:pt>
                <c:pt idx="657">
                  <c:v>1503.1603730278871</c:v>
                </c:pt>
                <c:pt idx="658">
                  <c:v>1493.9941274117734</c:v>
                </c:pt>
                <c:pt idx="659">
                  <c:v>1484.787971160775</c:v>
                </c:pt>
                <c:pt idx="660">
                  <c:v>1475.5424528758977</c:v>
                </c:pt>
                <c:pt idx="661">
                  <c:v>1466.2581176372853</c:v>
                </c:pt>
                <c:pt idx="662">
                  <c:v>1456.9355069521355</c:v>
                </c:pt>
                <c:pt idx="663">
                  <c:v>1447.5751587048585</c:v>
                </c:pt>
                <c:pt idx="664">
                  <c:v>1438.177607109453</c:v>
                </c:pt>
                <c:pt idx="665">
                  <c:v>1428.7433826640683</c:v>
                </c:pt>
                <c:pt idx="666">
                  <c:v>1419.2730121077252</c:v>
                </c:pt>
                <c:pt idx="667">
                  <c:v>1409.7670183791652</c:v>
                </c:pt>
                <c:pt idx="668">
                  <c:v>1400.2259205777978</c:v>
                </c:pt>
                <c:pt idx="669">
                  <c:v>1390.6502339267138</c:v>
                </c:pt>
                <c:pt idx="670">
                  <c:v>1381.0404697377337</c:v>
                </c:pt>
                <c:pt idx="671">
                  <c:v>1371.3971353784589</c:v>
                </c:pt>
                <c:pt idx="672">
                  <c:v>1361.7207342412928</c:v>
                </c:pt>
                <c:pt idx="673">
                  <c:v>1352.0117657144003</c:v>
                </c:pt>
                <c:pt idx="674">
                  <c:v>1342.2707251545694</c:v>
                </c:pt>
                <c:pt idx="675">
                  <c:v>1332.4981038619442</c:v>
                </c:pt>
                <c:pt idx="676">
                  <c:v>1322.6943890565935</c:v>
                </c:pt>
                <c:pt idx="677">
                  <c:v>1312.8600638568828</c:v>
                </c:pt>
                <c:pt idx="678">
                  <c:v>1302.9956072596119</c:v>
                </c:pt>
                <c:pt idx="679">
                  <c:v>1293.1014941218875</c:v>
                </c:pt>
                <c:pt idx="680">
                  <c:v>1283.1781951446935</c:v>
                </c:pt>
                <c:pt idx="681">
                  <c:v>1273.2261768581252</c:v>
                </c:pt>
                <c:pt idx="682">
                  <c:v>1263.2459016082523</c:v>
                </c:pt>
                <c:pt idx="683">
                  <c:v>1253.2378275455762</c:v>
                </c:pt>
                <c:pt idx="684">
                  <c:v>1243.2024086150461</c:v>
                </c:pt>
                <c:pt idx="685">
                  <c:v>1233.1400945475993</c:v>
                </c:pt>
                <c:pt idx="686">
                  <c:v>1223.0513308531922</c:v>
                </c:pt>
                <c:pt idx="687">
                  <c:v>1212.9365588152843</c:v>
                </c:pt>
                <c:pt idx="688">
                  <c:v>1202.7962154867434</c:v>
                </c:pt>
                <c:pt idx="689">
                  <c:v>1192.6307336871371</c:v>
                </c:pt>
                <c:pt idx="690">
                  <c:v>1182.4405420013738</c:v>
                </c:pt>
                <c:pt idx="691">
                  <c:v>1172.2260647796636</c:v>
                </c:pt>
                <c:pt idx="692">
                  <c:v>1161.9877221387596</c:v>
                </c:pt>
                <c:pt idx="693">
                  <c:v>1151.7259299644516</c:v>
                </c:pt>
                <c:pt idx="694">
                  <c:v>1141.4410999152735</c:v>
                </c:pt>
                <c:pt idx="695">
                  <c:v>1131.1336394273956</c:v>
                </c:pt>
                <c:pt idx="696">
                  <c:v>1120.8039517206648</c:v>
                </c:pt>
                <c:pt idx="697">
                  <c:v>1110.4524358057643</c:v>
                </c:pt>
                <c:pt idx="698">
                  <c:v>1100.079486492456</c:v>
                </c:pt>
                <c:pt idx="699">
                  <c:v>1089.6854943988781</c:v>
                </c:pt>
                <c:pt idx="700">
                  <c:v>1079.2708459618616</c:v>
                </c:pt>
                <c:pt idx="701">
                  <c:v>1068.8359234482386</c:v>
                </c:pt>
                <c:pt idx="702">
                  <c:v>1058.3811049671087</c:v>
                </c:pt>
                <c:pt idx="703">
                  <c:v>1047.9067644830336</c:v>
                </c:pt>
                <c:pt idx="704">
                  <c:v>1037.41327183013</c:v>
                </c:pt>
                <c:pt idx="705">
                  <c:v>1026.9009927270313</c:v>
                </c:pt>
                <c:pt idx="706">
                  <c:v>1016.370288792687</c:v>
                </c:pt>
                <c:pt idx="707">
                  <c:v>1005.8215175629738</c:v>
                </c:pt>
                <c:pt idx="708">
                  <c:v>995.25503250808617</c:v>
                </c:pt>
                <c:pt idx="709">
                  <c:v>984.67118305068152</c:v>
                </c:pt>
                <c:pt idx="710">
                  <c:v>974.07031458475001</c:v>
                </c:pt>
                <c:pt idx="711">
                  <c:v>963.45276849518302</c:v>
                </c:pt>
                <c:pt idx="712">
                  <c:v>952.81888217801281</c:v>
                </c:pt>
                <c:pt idx="713">
                  <c:v>942.16898906129722</c:v>
                </c:pt>
                <c:pt idx="714">
                  <c:v>931.50341862662356</c:v>
                </c:pt>
                <c:pt idx="715">
                  <c:v>920.82249643120599</c:v>
                </c:pt>
                <c:pt idx="716">
                  <c:v>910.12654413055157</c:v>
                </c:pt>
                <c:pt idx="717">
                  <c:v>899.41587950167013</c:v>
                </c:pt>
                <c:pt idx="718">
                  <c:v>888.69081646680468</c:v>
                </c:pt>
                <c:pt idx="719">
                  <c:v>877.95166511765751</c:v>
                </c:pt>
                <c:pt idx="720">
                  <c:v>867.19873174009001</c:v>
                </c:pt>
                <c:pt idx="721">
                  <c:v>856.4323188392724</c:v>
                </c:pt>
                <c:pt idx="722">
                  <c:v>845.65272516526238</c:v>
                </c:pt>
                <c:pt idx="723">
                  <c:v>834.86024573898987</c:v>
                </c:pt>
                <c:pt idx="724">
                  <c:v>824.05517187862711</c:v>
                </c:pt>
                <c:pt idx="725">
                  <c:v>813.23779122632288</c:v>
                </c:pt>
                <c:pt idx="726">
                  <c:v>802.40838777528097</c:v>
                </c:pt>
                <c:pt idx="727">
                  <c:v>791.56724189716272</c:v>
                </c:pt>
                <c:pt idx="728">
                  <c:v>780.71463036979389</c:v>
                </c:pt>
                <c:pt idx="729">
                  <c:v>769.85082640515725</c:v>
                </c:pt>
                <c:pt idx="730">
                  <c:v>758.97609967765197</c:v>
                </c:pt>
                <c:pt idx="731">
                  <c:v>748.0907163526025</c:v>
                </c:pt>
                <c:pt idx="732">
                  <c:v>737.19493911499774</c:v>
                </c:pt>
                <c:pt idx="733">
                  <c:v>726.28902719844496</c:v>
                </c:pt>
                <c:pt idx="734">
                  <c:v>715.37323641432044</c:v>
                </c:pt>
                <c:pt idx="735">
                  <c:v>704.44781918110107</c:v>
                </c:pt>
                <c:pt idx="736">
                  <c:v>693.51302455386065</c:v>
                </c:pt>
                <c:pt idx="737">
                  <c:v>682.56909825391585</c:v>
                </c:pt>
                <c:pt idx="738">
                  <c:v>671.61628269860569</c:v>
                </c:pt>
                <c:pt idx="739">
                  <c:v>660.65481703119121</c:v>
                </c:pt>
                <c:pt idx="740">
                  <c:v>649.68493715086026</c:v>
                </c:pt>
                <c:pt idx="741">
                  <c:v>638.70687574282306</c:v>
                </c:pt>
                <c:pt idx="742">
                  <c:v>627.7208623084864</c:v>
                </c:pt>
                <c:pt idx="743">
                  <c:v>616.72712319569177</c:v>
                </c:pt>
                <c:pt idx="744">
                  <c:v>605.72588162900615</c:v>
                </c:pt>
                <c:pt idx="745">
                  <c:v>594.71735774005231</c:v>
                </c:pt>
                <c:pt idx="746">
                  <c:v>583.70176859786648</c:v>
                </c:pt>
                <c:pt idx="747">
                  <c:v>572.67932823927288</c:v>
                </c:pt>
                <c:pt idx="748">
                  <c:v>561.6502476992622</c:v>
                </c:pt>
                <c:pt idx="749">
                  <c:v>550.61473504136495</c:v>
                </c:pt>
                <c:pt idx="750">
                  <c:v>539.57299538800794</c:v>
                </c:pt>
                <c:pt idx="751">
                  <c:v>528.52523095084382</c:v>
                </c:pt>
                <c:pt idx="752">
                  <c:v>517.47164106104481</c:v>
                </c:pt>
                <c:pt idx="753">
                  <c:v>506.41242219954938</c:v>
                </c:pt>
                <c:pt idx="754">
                  <c:v>495.34776802725486</c:v>
                </c:pt>
                <c:pt idx="755">
                  <c:v>484.27786941514501</c:v>
                </c:pt>
                <c:pt idx="756">
                  <c:v>473.20291447434539</c:v>
                </c:pt>
                <c:pt idx="757">
                  <c:v>462.12308858609782</c:v>
                </c:pt>
                <c:pt idx="758">
                  <c:v>451.03857443164594</c:v>
                </c:pt>
                <c:pt idx="759">
                  <c:v>439.94955202202442</c:v>
                </c:pt>
                <c:pt idx="760">
                  <c:v>428.85619872774407</c:v>
                </c:pt>
                <c:pt idx="761">
                  <c:v>417.75868930836646</c:v>
                </c:pt>
                <c:pt idx="762">
                  <c:v>406.65719594196048</c:v>
                </c:pt>
                <c:pt idx="763">
                  <c:v>395.5518882544348</c:v>
                </c:pt>
                <c:pt idx="764">
                  <c:v>384.44293334874004</c:v>
                </c:pt>
                <c:pt idx="765">
                  <c:v>373.33049583393421</c:v>
                </c:pt>
                <c:pt idx="766">
                  <c:v>362.21473785410598</c:v>
                </c:pt>
                <c:pt idx="767">
                  <c:v>351.09581911715037</c:v>
                </c:pt>
                <c:pt idx="768">
                  <c:v>339.97389692339129</c:v>
                </c:pt>
                <c:pt idx="769">
                  <c:v>328.84912619404622</c:v>
                </c:pt>
                <c:pt idx="770">
                  <c:v>317.72165949952807</c:v>
                </c:pt>
                <c:pt idx="771">
                  <c:v>306.5916470875797</c:v>
                </c:pt>
                <c:pt idx="772">
                  <c:v>295.45923691123659</c:v>
                </c:pt>
                <c:pt idx="773">
                  <c:v>284.32457465661412</c:v>
                </c:pt>
                <c:pt idx="774">
                  <c:v>273.18780377051456</c:v>
                </c:pt>
                <c:pt idx="775">
                  <c:v>262.04906548785118</c:v>
                </c:pt>
                <c:pt idx="776">
                  <c:v>250.90849885888483</c:v>
                </c:pt>
                <c:pt idx="777">
                  <c:v>239.76624077627068</c:v>
                </c:pt>
                <c:pt idx="778">
                  <c:v>228.62242600191129</c:v>
                </c:pt>
                <c:pt idx="779">
                  <c:v>217.47718719361336</c:v>
                </c:pt>
                <c:pt idx="780">
                  <c:v>206.3306549315453</c:v>
                </c:pt>
                <c:pt idx="781">
                  <c:v>195.18295774449305</c:v>
                </c:pt>
                <c:pt idx="782">
                  <c:v>184.03422213591168</c:v>
                </c:pt>
                <c:pt idx="783">
                  <c:v>172.88457260977054</c:v>
                </c:pt>
                <c:pt idx="784">
                  <c:v>161.73413169618982</c:v>
                </c:pt>
                <c:pt idx="785">
                  <c:v>150.58301997686652</c:v>
                </c:pt>
                <c:pt idx="786">
                  <c:v>139.43135611028811</c:v>
                </c:pt>
                <c:pt idx="787">
                  <c:v>128.27925685673213</c:v>
                </c:pt>
                <c:pt idx="788">
                  <c:v>117.12683710305035</c:v>
                </c:pt>
                <c:pt idx="789">
                  <c:v>105.97420988723582</c:v>
                </c:pt>
                <c:pt idx="790">
                  <c:v>94.821486422771898</c:v>
                </c:pt>
                <c:pt idx="791">
                  <c:v>83.668776122761912</c:v>
                </c:pt>
                <c:pt idx="792">
                  <c:v>72.51618662383845</c:v>
                </c:pt>
                <c:pt idx="793">
                  <c:v>61.363823809851567</c:v>
                </c:pt>
                <c:pt idx="794">
                  <c:v>50.211791835334935</c:v>
                </c:pt>
                <c:pt idx="795">
                  <c:v>39.060193148749448</c:v>
                </c:pt>
                <c:pt idx="796">
                  <c:v>27.909128515503639</c:v>
                </c:pt>
                <c:pt idx="797">
                  <c:v>16.758697040750533</c:v>
                </c:pt>
                <c:pt idx="798">
                  <c:v>5.6089961919605429</c:v>
                </c:pt>
                <c:pt idx="799">
                  <c:v>-5.5398781787297828</c:v>
                </c:pt>
                <c:pt idx="800">
                  <c:v>-5.5510266156151804</c:v>
                </c:pt>
                <c:pt idx="801">
                  <c:v>-5.5621750515330612</c:v>
                </c:pt>
                <c:pt idx="802">
                  <c:v>-5.5733234864833339</c:v>
                </c:pt>
                <c:pt idx="803">
                  <c:v>-5.5844719204659059</c:v>
                </c:pt>
                <c:pt idx="804">
                  <c:v>-5.595620353480685</c:v>
                </c:pt>
                <c:pt idx="805">
                  <c:v>-5.6067687855275796</c:v>
                </c:pt>
                <c:pt idx="806">
                  <c:v>-5.6179172166064983</c:v>
                </c:pt>
                <c:pt idx="807">
                  <c:v>-5.6290656467173488</c:v>
                </c:pt>
                <c:pt idx="808">
                  <c:v>-5.6402140758600394</c:v>
                </c:pt>
                <c:pt idx="809">
                  <c:v>-5.6513625040344788</c:v>
                </c:pt>
                <c:pt idx="810">
                  <c:v>-5.6625109312405746</c:v>
                </c:pt>
                <c:pt idx="811">
                  <c:v>-5.6736593574782344</c:v>
                </c:pt>
                <c:pt idx="812">
                  <c:v>-5.6848077827473666</c:v>
                </c:pt>
                <c:pt idx="813">
                  <c:v>-5.69595620704788</c:v>
                </c:pt>
                <c:pt idx="814">
                  <c:v>-5.7071046303796829</c:v>
                </c:pt>
                <c:pt idx="815">
                  <c:v>-5.7182530527426829</c:v>
                </c:pt>
                <c:pt idx="816">
                  <c:v>-5.7294014741367878</c:v>
                </c:pt>
                <c:pt idx="817">
                  <c:v>-5.740549894561906</c:v>
                </c:pt>
                <c:pt idx="818">
                  <c:v>-5.7516983140179461</c:v>
                </c:pt>
                <c:pt idx="819">
                  <c:v>-5.7628467325048165</c:v>
                </c:pt>
                <c:pt idx="820">
                  <c:v>-5.7739951500224249</c:v>
                </c:pt>
                <c:pt idx="821">
                  <c:v>-5.785143566570679</c:v>
                </c:pt>
                <c:pt idx="822">
                  <c:v>-5.7962919821494872</c:v>
                </c:pt>
                <c:pt idx="823">
                  <c:v>-5.807440396758758</c:v>
                </c:pt>
                <c:pt idx="824">
                  <c:v>-5.8185888103984</c:v>
                </c:pt>
                <c:pt idx="825">
                  <c:v>-5.8297372230683209</c:v>
                </c:pt>
                <c:pt idx="826">
                  <c:v>-5.8408856347684281</c:v>
                </c:pt>
                <c:pt idx="827">
                  <c:v>-5.8520340454986304</c:v>
                </c:pt>
                <c:pt idx="828">
                  <c:v>-5.8631824552588361</c:v>
                </c:pt>
                <c:pt idx="829">
                  <c:v>-5.8743308640489538</c:v>
                </c:pt>
                <c:pt idx="830">
                  <c:v>-5.8854792718688911</c:v>
                </c:pt>
                <c:pt idx="831">
                  <c:v>-5.8966276787185565</c:v>
                </c:pt>
                <c:pt idx="832">
                  <c:v>-5.9077760845978577</c:v>
                </c:pt>
                <c:pt idx="833">
                  <c:v>-5.9189244895067032</c:v>
                </c:pt>
                <c:pt idx="834">
                  <c:v>-5.9300728934450015</c:v>
                </c:pt>
                <c:pt idx="835">
                  <c:v>-5.9412212964126603</c:v>
                </c:pt>
                <c:pt idx="836">
                  <c:v>-5.952369698409588</c:v>
                </c:pt>
                <c:pt idx="837">
                  <c:v>-5.9635180994356922</c:v>
                </c:pt>
                <c:pt idx="838">
                  <c:v>-5.9746664994908816</c:v>
                </c:pt>
                <c:pt idx="839">
                  <c:v>-5.9858148985750645</c:v>
                </c:pt>
                <c:pt idx="840">
                  <c:v>-5.9969632966881488</c:v>
                </c:pt>
                <c:pt idx="841">
                  <c:v>-6.0081116938300427</c:v>
                </c:pt>
                <c:pt idx="842">
                  <c:v>-6.019260090000655</c:v>
                </c:pt>
                <c:pt idx="843">
                  <c:v>-6.0304084851998931</c:v>
                </c:pt>
                <c:pt idx="844">
                  <c:v>-6.0415568794276657</c:v>
                </c:pt>
                <c:pt idx="845">
                  <c:v>-6.0527052726838813</c:v>
                </c:pt>
                <c:pt idx="846">
                  <c:v>-6.0638536649684474</c:v>
                </c:pt>
                <c:pt idx="847">
                  <c:v>-6.0750020562812725</c:v>
                </c:pt>
                <c:pt idx="848">
                  <c:v>-6.0861504466222645</c:v>
                </c:pt>
                <c:pt idx="849">
                  <c:v>-6.0972988359913325</c:v>
                </c:pt>
                <c:pt idx="850">
                  <c:v>-6.1084472243883843</c:v>
                </c:pt>
                <c:pt idx="851">
                  <c:v>-6.1195956118133275</c:v>
                </c:pt>
                <c:pt idx="852">
                  <c:v>-6.1307439982660705</c:v>
                </c:pt>
                <c:pt idx="853">
                  <c:v>-6.141892383746522</c:v>
                </c:pt>
                <c:pt idx="854">
                  <c:v>-6.1530407682545896</c:v>
                </c:pt>
                <c:pt idx="855">
                  <c:v>-6.1641891517901826</c:v>
                </c:pt>
                <c:pt idx="856">
                  <c:v>-6.1753375343532078</c:v>
                </c:pt>
                <c:pt idx="857">
                  <c:v>-6.1864859159435746</c:v>
                </c:pt>
                <c:pt idx="858">
                  <c:v>-6.1976342965611906</c:v>
                </c:pt>
                <c:pt idx="859">
                  <c:v>-6.2087826762059644</c:v>
                </c:pt>
                <c:pt idx="860">
                  <c:v>-6.2199310548778035</c:v>
                </c:pt>
                <c:pt idx="861">
                  <c:v>-6.2310794325766166</c:v>
                </c:pt>
                <c:pt idx="862">
                  <c:v>-6.242227809302312</c:v>
                </c:pt>
                <c:pt idx="863">
                  <c:v>-6.2533761850547984</c:v>
                </c:pt>
                <c:pt idx="864">
                  <c:v>-6.2645245598339834</c:v>
                </c:pt>
                <c:pt idx="865">
                  <c:v>-6.2756729336397754</c:v>
                </c:pt>
                <c:pt idx="866">
                  <c:v>-6.2868213064720821</c:v>
                </c:pt>
                <c:pt idx="867">
                  <c:v>-6.297969678330813</c:v>
                </c:pt>
                <c:pt idx="868">
                  <c:v>-6.3091180492158747</c:v>
                </c:pt>
                <c:pt idx="869">
                  <c:v>-6.3202664191271767</c:v>
                </c:pt>
                <c:pt idx="870">
                  <c:v>-6.3314147880646265</c:v>
                </c:pt>
                <c:pt idx="871">
                  <c:v>-6.3425631560281328</c:v>
                </c:pt>
                <c:pt idx="872">
                  <c:v>-6.353711523017604</c:v>
                </c:pt>
                <c:pt idx="873">
                  <c:v>-6.3648598890329477</c:v>
                </c:pt>
                <c:pt idx="874">
                  <c:v>-6.3760082540740726</c:v>
                </c:pt>
                <c:pt idx="875">
                  <c:v>-6.387156618140887</c:v>
                </c:pt>
                <c:pt idx="876">
                  <c:v>-6.3983049812332986</c:v>
                </c:pt>
                <c:pt idx="877">
                  <c:v>-6.4094533433512169</c:v>
                </c:pt>
                <c:pt idx="878">
                  <c:v>-6.4206017044945485</c:v>
                </c:pt>
                <c:pt idx="879">
                  <c:v>-6.4317500646632029</c:v>
                </c:pt>
                <c:pt idx="880">
                  <c:v>-6.4428984238570877</c:v>
                </c:pt>
                <c:pt idx="881">
                  <c:v>-6.4540467820761114</c:v>
                </c:pt>
                <c:pt idx="882">
                  <c:v>-6.4651951393201825</c:v>
                </c:pt>
                <c:pt idx="883">
                  <c:v>-6.4763434955892087</c:v>
                </c:pt>
                <c:pt idx="884">
                  <c:v>-6.4874918508830985</c:v>
                </c:pt>
                <c:pt idx="885">
                  <c:v>-6.4986402052017604</c:v>
                </c:pt>
                <c:pt idx="886">
                  <c:v>-6.509788558545103</c:v>
                </c:pt>
                <c:pt idx="887">
                  <c:v>-6.5209369109130337</c:v>
                </c:pt>
                <c:pt idx="888">
                  <c:v>-6.5320852623054613</c:v>
                </c:pt>
                <c:pt idx="889">
                  <c:v>-6.5432336127222941</c:v>
                </c:pt>
                <c:pt idx="890">
                  <c:v>-6.5543819621634398</c:v>
                </c:pt>
                <c:pt idx="891">
                  <c:v>-6.565530310628807</c:v>
                </c:pt>
                <c:pt idx="892">
                  <c:v>-6.5766786581183041</c:v>
                </c:pt>
                <c:pt idx="893">
                  <c:v>-6.5878270046318397</c:v>
                </c:pt>
                <c:pt idx="894">
                  <c:v>-6.5989753501693214</c:v>
                </c:pt>
                <c:pt idx="895">
                  <c:v>-6.6101236947306576</c:v>
                </c:pt>
                <c:pt idx="896">
                  <c:v>-6.6212720383157571</c:v>
                </c:pt>
                <c:pt idx="897">
                  <c:v>-6.6324203809245272</c:v>
                </c:pt>
                <c:pt idx="898">
                  <c:v>-6.6435687225568767</c:v>
                </c:pt>
                <c:pt idx="899">
                  <c:v>-6.6547170632127139</c:v>
                </c:pt>
                <c:pt idx="900">
                  <c:v>-6.6658654028919475</c:v>
                </c:pt>
                <c:pt idx="901">
                  <c:v>-6.6770137415944859</c:v>
                </c:pt>
                <c:pt idx="902">
                  <c:v>-6.6881620793202368</c:v>
                </c:pt>
                <c:pt idx="903">
                  <c:v>-6.6993104160691086</c:v>
                </c:pt>
                <c:pt idx="904">
                  <c:v>-6.710458751841009</c:v>
                </c:pt>
                <c:pt idx="905">
                  <c:v>-6.7216070866358475</c:v>
                </c:pt>
                <c:pt idx="906">
                  <c:v>-6.7327554204535316</c:v>
                </c:pt>
                <c:pt idx="907">
                  <c:v>-6.7439037532939698</c:v>
                </c:pt>
                <c:pt idx="908">
                  <c:v>-6.7550520851570708</c:v>
                </c:pt>
                <c:pt idx="909">
                  <c:v>-6.766200416042742</c:v>
                </c:pt>
                <c:pt idx="910">
                  <c:v>-6.7773487459508921</c:v>
                </c:pt>
                <c:pt idx="911">
                  <c:v>-6.7884970748814295</c:v>
                </c:pt>
                <c:pt idx="912">
                  <c:v>-6.7996454028342628</c:v>
                </c:pt>
                <c:pt idx="913">
                  <c:v>-6.8107937298093004</c:v>
                </c:pt>
                <c:pt idx="914">
                  <c:v>-6.8219420558064501</c:v>
                </c:pt>
                <c:pt idx="915">
                  <c:v>-6.8330903808256203</c:v>
                </c:pt>
                <c:pt idx="916">
                  <c:v>-6.8442387048667195</c:v>
                </c:pt>
                <c:pt idx="917">
                  <c:v>-6.8553870279296554</c:v>
                </c:pt>
                <c:pt idx="918">
                  <c:v>-6.8665353500143373</c:v>
                </c:pt>
                <c:pt idx="919">
                  <c:v>-6.877683671120673</c:v>
                </c:pt>
                <c:pt idx="920">
                  <c:v>-6.8888319912485709</c:v>
                </c:pt>
                <c:pt idx="921">
                  <c:v>-6.8999803103979387</c:v>
                </c:pt>
                <c:pt idx="922">
                  <c:v>-6.9111286285686857</c:v>
                </c:pt>
                <c:pt idx="923">
                  <c:v>-6.9222769457607196</c:v>
                </c:pt>
                <c:pt idx="924">
                  <c:v>-6.9334252619739489</c:v>
                </c:pt>
                <c:pt idx="925">
                  <c:v>-6.9445735772082822</c:v>
                </c:pt>
                <c:pt idx="926">
                  <c:v>-6.955721891463627</c:v>
                </c:pt>
                <c:pt idx="927">
                  <c:v>-6.9668702047398927</c:v>
                </c:pt>
                <c:pt idx="928">
                  <c:v>-6.9780185170369871</c:v>
                </c:pt>
                <c:pt idx="929">
                  <c:v>-6.9891668283548185</c:v>
                </c:pt>
                <c:pt idx="930">
                  <c:v>-7.0003151386932947</c:v>
                </c:pt>
                <c:pt idx="931">
                  <c:v>-7.011463448052325</c:v>
                </c:pt>
                <c:pt idx="932">
                  <c:v>-7.0226117564318171</c:v>
                </c:pt>
                <c:pt idx="933">
                  <c:v>-7.0337600638316795</c:v>
                </c:pt>
                <c:pt idx="934">
                  <c:v>-7.0449083702518207</c:v>
                </c:pt>
                <c:pt idx="935">
                  <c:v>-7.0560566756921492</c:v>
                </c:pt>
                <c:pt idx="936">
                  <c:v>-7.0672049801525736</c:v>
                </c:pt>
                <c:pt idx="937">
                  <c:v>-7.0783532836330014</c:v>
                </c:pt>
                <c:pt idx="938">
                  <c:v>-7.0895015861333412</c:v>
                </c:pt>
                <c:pt idx="939">
                  <c:v>-7.1006498876535016</c:v>
                </c:pt>
                <c:pt idx="940">
                  <c:v>-7.1117981881933909</c:v>
                </c:pt>
                <c:pt idx="941">
                  <c:v>-7.1229464877529169</c:v>
                </c:pt>
                <c:pt idx="942">
                  <c:v>-7.134094786331989</c:v>
                </c:pt>
                <c:pt idx="943">
                  <c:v>-7.1452430839305148</c:v>
                </c:pt>
                <c:pt idx="944">
                  <c:v>-7.1563913805484027</c:v>
                </c:pt>
                <c:pt idx="945">
                  <c:v>-7.1675396761855614</c:v>
                </c:pt>
                <c:pt idx="946">
                  <c:v>-7.1786879708418985</c:v>
                </c:pt>
                <c:pt idx="947">
                  <c:v>-7.1898362645173233</c:v>
                </c:pt>
                <c:pt idx="948">
                  <c:v>-7.2009845572117435</c:v>
                </c:pt>
                <c:pt idx="949">
                  <c:v>-7.2121328489250676</c:v>
                </c:pt>
                <c:pt idx="950">
                  <c:v>-7.2232811396572041</c:v>
                </c:pt>
                <c:pt idx="951">
                  <c:v>-7.2344294294080616</c:v>
                </c:pt>
                <c:pt idx="952">
                  <c:v>-7.2455777181775476</c:v>
                </c:pt>
                <c:pt idx="953">
                  <c:v>-7.2567260059655716</c:v>
                </c:pt>
                <c:pt idx="954">
                  <c:v>-7.2678742927720412</c:v>
                </c:pt>
                <c:pt idx="955">
                  <c:v>-7.279022578596865</c:v>
                </c:pt>
                <c:pt idx="956">
                  <c:v>-7.2901708634399514</c:v>
                </c:pt>
                <c:pt idx="957">
                  <c:v>-7.3013191473012089</c:v>
                </c:pt>
                <c:pt idx="958">
                  <c:v>-7.3124674301805452</c:v>
                </c:pt>
                <c:pt idx="959">
                  <c:v>-7.3236157120778698</c:v>
                </c:pt>
                <c:pt idx="960">
                  <c:v>-7.3347639929930901</c:v>
                </c:pt>
                <c:pt idx="961">
                  <c:v>-7.3459122729261148</c:v>
                </c:pt>
                <c:pt idx="962">
                  <c:v>-7.3570605518768524</c:v>
                </c:pt>
                <c:pt idx="963">
                  <c:v>-7.3682088298452113</c:v>
                </c:pt>
                <c:pt idx="964">
                  <c:v>-7.3793571068310992</c:v>
                </c:pt>
                <c:pt idx="965">
                  <c:v>-7.3905053828344256</c:v>
                </c:pt>
                <c:pt idx="966">
                  <c:v>-7.401653657855098</c:v>
                </c:pt>
                <c:pt idx="967">
                  <c:v>-7.4128019318930258</c:v>
                </c:pt>
                <c:pt idx="968">
                  <c:v>-7.4239502049481167</c:v>
                </c:pt>
                <c:pt idx="969">
                  <c:v>-7.4350984770202793</c:v>
                </c:pt>
                <c:pt idx="970">
                  <c:v>-7.446246748109421</c:v>
                </c:pt>
                <c:pt idx="971">
                  <c:v>-7.4573950182154514</c:v>
                </c:pt>
                <c:pt idx="972">
                  <c:v>-7.4685432873382789</c:v>
                </c:pt>
                <c:pt idx="973">
                  <c:v>-7.4796915554778112</c:v>
                </c:pt>
                <c:pt idx="974">
                  <c:v>-7.4908398226339568</c:v>
                </c:pt>
                <c:pt idx="975">
                  <c:v>-7.5019880888066242</c:v>
                </c:pt>
                <c:pt idx="976">
                  <c:v>-7.5131363539957219</c:v>
                </c:pt>
                <c:pt idx="977">
                  <c:v>-7.5242846182011585</c:v>
                </c:pt>
                <c:pt idx="978">
                  <c:v>-7.5354328814228424</c:v>
                </c:pt>
                <c:pt idx="979">
                  <c:v>-7.5465811436606822</c:v>
                </c:pt>
                <c:pt idx="980">
                  <c:v>-7.5577294049145856</c:v>
                </c:pt>
                <c:pt idx="981">
                  <c:v>-7.5688776651844618</c:v>
                </c:pt>
                <c:pt idx="982">
                  <c:v>-7.5800259244702186</c:v>
                </c:pt>
                <c:pt idx="983">
                  <c:v>-7.5911741827717645</c:v>
                </c:pt>
                <c:pt idx="984">
                  <c:v>-7.6023224400890079</c:v>
                </c:pt>
                <c:pt idx="985">
                  <c:v>-7.6134706964218575</c:v>
                </c:pt>
                <c:pt idx="986">
                  <c:v>-7.6246189517702216</c:v>
                </c:pt>
                <c:pt idx="987">
                  <c:v>-7.6357672061340081</c:v>
                </c:pt>
                <c:pt idx="988">
                  <c:v>-7.6469154595131261</c:v>
                </c:pt>
                <c:pt idx="989">
                  <c:v>-7.6580637119074844</c:v>
                </c:pt>
                <c:pt idx="990">
                  <c:v>-7.6692119633169904</c:v>
                </c:pt>
                <c:pt idx="991">
                  <c:v>-7.6803602137415528</c:v>
                </c:pt>
                <c:pt idx="992">
                  <c:v>-7.6915084631810799</c:v>
                </c:pt>
                <c:pt idx="993">
                  <c:v>-7.7026567116354805</c:v>
                </c:pt>
                <c:pt idx="994">
                  <c:v>-7.7138049591046629</c:v>
                </c:pt>
                <c:pt idx="995">
                  <c:v>-7.7249532055885357</c:v>
                </c:pt>
                <c:pt idx="996">
                  <c:v>-7.7361014510870074</c:v>
                </c:pt>
                <c:pt idx="997">
                  <c:v>-7.7472496955999866</c:v>
                </c:pt>
                <c:pt idx="998">
                  <c:v>-7.7583979391273807</c:v>
                </c:pt>
                <c:pt idx="999">
                  <c:v>-7.7695461816690994</c:v>
                </c:pt>
                <c:pt idx="1000">
                  <c:v>-7.7806944232250501</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16.399999999999999</c:v>
                </c:pt>
                <c:pt idx="1">
                  <c:v>99.234485858445268</c:v>
                </c:pt>
                <c:pt idx="2">
                  <c:v>182.06897171689053</c:v>
                </c:pt>
                <c:pt idx="3">
                  <c:v>180.26940427918319</c:v>
                </c:pt>
                <c:pt idx="4">
                  <c:v>182.06897171689053</c:v>
                </c:pt>
                <c:pt idx="5">
                  <c:v>175.87940427918315</c:v>
                </c:pt>
                <c:pt idx="6">
                  <c:v>182.06897171689053</c:v>
                </c:pt>
              </c:numCache>
            </c:numRef>
          </c:xVal>
          <c:yVal>
            <c:numRef>
              <c:f>Trajecto!$C$132:$C$138</c:f>
              <c:numCache>
                <c:formatCode>0</c:formatCode>
                <c:ptCount val="7"/>
                <c:pt idx="0">
                  <c:v>2137.2568655522532</c:v>
                </c:pt>
                <c:pt idx="1">
                  <c:v>1068.6284327761266</c:v>
                </c:pt>
                <c:pt idx="2">
                  <c:v>0</c:v>
                </c:pt>
                <c:pt idx="3">
                  <c:v>75.157679065330726</c:v>
                </c:pt>
                <c:pt idx="4">
                  <c:v>0</c:v>
                </c:pt>
                <c:pt idx="5">
                  <c:v>28.154534895948217</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35.900000000000198</c:v>
                </c:pt>
                <c:pt idx="720">
                  <c:v>36.000000000000199</c:v>
                </c:pt>
                <c:pt idx="721">
                  <c:v>36.1000000000002</c:v>
                </c:pt>
                <c:pt idx="722">
                  <c:v>36.200000000000202</c:v>
                </c:pt>
                <c:pt idx="723">
                  <c:v>36.300000000000203</c:v>
                </c:pt>
                <c:pt idx="724">
                  <c:v>36.400000000000205</c:v>
                </c:pt>
                <c:pt idx="725">
                  <c:v>36.500000000000206</c:v>
                </c:pt>
                <c:pt idx="726">
                  <c:v>36.600000000000207</c:v>
                </c:pt>
                <c:pt idx="727">
                  <c:v>36.700000000000209</c:v>
                </c:pt>
                <c:pt idx="728">
                  <c:v>36.80000000000021</c:v>
                </c:pt>
                <c:pt idx="729">
                  <c:v>36.900000000000212</c:v>
                </c:pt>
                <c:pt idx="730">
                  <c:v>37.000000000000213</c:v>
                </c:pt>
                <c:pt idx="731">
                  <c:v>37.100000000000215</c:v>
                </c:pt>
                <c:pt idx="732">
                  <c:v>37.200000000000216</c:v>
                </c:pt>
                <c:pt idx="733">
                  <c:v>37.300000000000217</c:v>
                </c:pt>
                <c:pt idx="734">
                  <c:v>37.400000000000219</c:v>
                </c:pt>
                <c:pt idx="735">
                  <c:v>37.50000000000022</c:v>
                </c:pt>
                <c:pt idx="736">
                  <c:v>37.600000000000222</c:v>
                </c:pt>
                <c:pt idx="737">
                  <c:v>37.700000000000223</c:v>
                </c:pt>
                <c:pt idx="738">
                  <c:v>37.800000000000225</c:v>
                </c:pt>
                <c:pt idx="739">
                  <c:v>37.900000000000226</c:v>
                </c:pt>
                <c:pt idx="740">
                  <c:v>38.000000000000227</c:v>
                </c:pt>
                <c:pt idx="741">
                  <c:v>38.100000000000229</c:v>
                </c:pt>
                <c:pt idx="742">
                  <c:v>38.20000000000023</c:v>
                </c:pt>
                <c:pt idx="743">
                  <c:v>38.300000000000232</c:v>
                </c:pt>
                <c:pt idx="744">
                  <c:v>38.400000000000233</c:v>
                </c:pt>
                <c:pt idx="745">
                  <c:v>38.500000000000234</c:v>
                </c:pt>
                <c:pt idx="746">
                  <c:v>38.600000000000236</c:v>
                </c:pt>
                <c:pt idx="747">
                  <c:v>38.700000000000237</c:v>
                </c:pt>
                <c:pt idx="748">
                  <c:v>38.800000000000239</c:v>
                </c:pt>
                <c:pt idx="749">
                  <c:v>38.90000000000024</c:v>
                </c:pt>
                <c:pt idx="750">
                  <c:v>39.000000000000242</c:v>
                </c:pt>
                <c:pt idx="751">
                  <c:v>39.100000000000243</c:v>
                </c:pt>
                <c:pt idx="752">
                  <c:v>39.200000000000244</c:v>
                </c:pt>
                <c:pt idx="753">
                  <c:v>39.300000000000246</c:v>
                </c:pt>
                <c:pt idx="754">
                  <c:v>39.400000000000247</c:v>
                </c:pt>
                <c:pt idx="755">
                  <c:v>39.500000000000249</c:v>
                </c:pt>
                <c:pt idx="756">
                  <c:v>39.60000000000025</c:v>
                </c:pt>
                <c:pt idx="757">
                  <c:v>39.700000000000252</c:v>
                </c:pt>
                <c:pt idx="758">
                  <c:v>39.800000000000253</c:v>
                </c:pt>
                <c:pt idx="759">
                  <c:v>39.900000000000254</c:v>
                </c:pt>
                <c:pt idx="760">
                  <c:v>40.000000000000256</c:v>
                </c:pt>
                <c:pt idx="761">
                  <c:v>40.100000000000257</c:v>
                </c:pt>
                <c:pt idx="762">
                  <c:v>40.200000000000259</c:v>
                </c:pt>
                <c:pt idx="763">
                  <c:v>40.30000000000026</c:v>
                </c:pt>
                <c:pt idx="764">
                  <c:v>40.400000000000261</c:v>
                </c:pt>
                <c:pt idx="765">
                  <c:v>40.500000000000263</c:v>
                </c:pt>
                <c:pt idx="766">
                  <c:v>40.600000000000264</c:v>
                </c:pt>
                <c:pt idx="767">
                  <c:v>40.700000000000266</c:v>
                </c:pt>
                <c:pt idx="768">
                  <c:v>40.800000000000267</c:v>
                </c:pt>
                <c:pt idx="769">
                  <c:v>40.900000000000269</c:v>
                </c:pt>
                <c:pt idx="770">
                  <c:v>41.00000000000027</c:v>
                </c:pt>
                <c:pt idx="771">
                  <c:v>41.100000000000271</c:v>
                </c:pt>
                <c:pt idx="772">
                  <c:v>41.200000000000273</c:v>
                </c:pt>
                <c:pt idx="773">
                  <c:v>41.300000000000274</c:v>
                </c:pt>
                <c:pt idx="774">
                  <c:v>41.400000000000276</c:v>
                </c:pt>
                <c:pt idx="775">
                  <c:v>41.500000000000277</c:v>
                </c:pt>
                <c:pt idx="776">
                  <c:v>41.600000000000279</c:v>
                </c:pt>
                <c:pt idx="777">
                  <c:v>41.70000000000028</c:v>
                </c:pt>
                <c:pt idx="778">
                  <c:v>41.800000000000281</c:v>
                </c:pt>
                <c:pt idx="779">
                  <c:v>41.900000000000283</c:v>
                </c:pt>
                <c:pt idx="780">
                  <c:v>42.000000000000284</c:v>
                </c:pt>
                <c:pt idx="781">
                  <c:v>42.100000000000286</c:v>
                </c:pt>
                <c:pt idx="782">
                  <c:v>42.200000000000287</c:v>
                </c:pt>
                <c:pt idx="783">
                  <c:v>42.300000000000288</c:v>
                </c:pt>
                <c:pt idx="784">
                  <c:v>42.40000000000029</c:v>
                </c:pt>
                <c:pt idx="785">
                  <c:v>42.500000000000291</c:v>
                </c:pt>
                <c:pt idx="786">
                  <c:v>42.600000000000293</c:v>
                </c:pt>
                <c:pt idx="787">
                  <c:v>42.700000000000294</c:v>
                </c:pt>
                <c:pt idx="788">
                  <c:v>42.800000000000296</c:v>
                </c:pt>
                <c:pt idx="789">
                  <c:v>42.900000000000297</c:v>
                </c:pt>
                <c:pt idx="790">
                  <c:v>43.000000000000298</c:v>
                </c:pt>
                <c:pt idx="791">
                  <c:v>43.1000000000003</c:v>
                </c:pt>
                <c:pt idx="792">
                  <c:v>43.200000000000301</c:v>
                </c:pt>
                <c:pt idx="793">
                  <c:v>43.300000000000303</c:v>
                </c:pt>
                <c:pt idx="794">
                  <c:v>43.400000000000304</c:v>
                </c:pt>
                <c:pt idx="795">
                  <c:v>43.500000000000306</c:v>
                </c:pt>
                <c:pt idx="796">
                  <c:v>43.600000000000307</c:v>
                </c:pt>
                <c:pt idx="797">
                  <c:v>43.700000000000308</c:v>
                </c:pt>
                <c:pt idx="798">
                  <c:v>43.80000000000031</c:v>
                </c:pt>
                <c:pt idx="799">
                  <c:v>43.900000000000311</c:v>
                </c:pt>
                <c:pt idx="800">
                  <c:v>43.900100000000315</c:v>
                </c:pt>
                <c:pt idx="801">
                  <c:v>43.900200000000318</c:v>
                </c:pt>
                <c:pt idx="802">
                  <c:v>43.900300000000321</c:v>
                </c:pt>
                <c:pt idx="803">
                  <c:v>43.900400000000324</c:v>
                </c:pt>
                <c:pt idx="804">
                  <c:v>43.900500000000328</c:v>
                </c:pt>
                <c:pt idx="805">
                  <c:v>43.900600000000331</c:v>
                </c:pt>
                <c:pt idx="806">
                  <c:v>43.900700000000334</c:v>
                </c:pt>
                <c:pt idx="807">
                  <c:v>43.900800000000338</c:v>
                </c:pt>
                <c:pt idx="808">
                  <c:v>43.900900000000341</c:v>
                </c:pt>
                <c:pt idx="809">
                  <c:v>43.901000000000344</c:v>
                </c:pt>
                <c:pt idx="810">
                  <c:v>43.901100000000348</c:v>
                </c:pt>
                <c:pt idx="811">
                  <c:v>43.901200000000351</c:v>
                </c:pt>
                <c:pt idx="812">
                  <c:v>43.901300000000354</c:v>
                </c:pt>
                <c:pt idx="813">
                  <c:v>43.901400000000358</c:v>
                </c:pt>
                <c:pt idx="814">
                  <c:v>43.901500000000361</c:v>
                </c:pt>
                <c:pt idx="815">
                  <c:v>43.901600000000364</c:v>
                </c:pt>
                <c:pt idx="816">
                  <c:v>43.901700000000368</c:v>
                </c:pt>
                <c:pt idx="817">
                  <c:v>43.901800000000371</c:v>
                </c:pt>
                <c:pt idx="818">
                  <c:v>43.901900000000374</c:v>
                </c:pt>
                <c:pt idx="819">
                  <c:v>43.902000000000378</c:v>
                </c:pt>
                <c:pt idx="820">
                  <c:v>43.902100000000381</c:v>
                </c:pt>
                <c:pt idx="821">
                  <c:v>43.902200000000384</c:v>
                </c:pt>
                <c:pt idx="822">
                  <c:v>43.902300000000388</c:v>
                </c:pt>
                <c:pt idx="823">
                  <c:v>43.902400000000391</c:v>
                </c:pt>
                <c:pt idx="824">
                  <c:v>43.902500000000394</c:v>
                </c:pt>
                <c:pt idx="825">
                  <c:v>43.902600000000398</c:v>
                </c:pt>
                <c:pt idx="826">
                  <c:v>43.902700000000401</c:v>
                </c:pt>
                <c:pt idx="827">
                  <c:v>43.902800000000404</c:v>
                </c:pt>
                <c:pt idx="828">
                  <c:v>43.902900000000407</c:v>
                </c:pt>
                <c:pt idx="829">
                  <c:v>43.903000000000411</c:v>
                </c:pt>
                <c:pt idx="830">
                  <c:v>43.903100000000414</c:v>
                </c:pt>
                <c:pt idx="831">
                  <c:v>43.903200000000417</c:v>
                </c:pt>
                <c:pt idx="832">
                  <c:v>43.903300000000421</c:v>
                </c:pt>
                <c:pt idx="833">
                  <c:v>43.903400000000424</c:v>
                </c:pt>
                <c:pt idx="834">
                  <c:v>43.903500000000427</c:v>
                </c:pt>
                <c:pt idx="835">
                  <c:v>43.903600000000431</c:v>
                </c:pt>
                <c:pt idx="836">
                  <c:v>43.903700000000434</c:v>
                </c:pt>
                <c:pt idx="837">
                  <c:v>43.903800000000437</c:v>
                </c:pt>
                <c:pt idx="838">
                  <c:v>43.903900000000441</c:v>
                </c:pt>
                <c:pt idx="839">
                  <c:v>43.904000000000444</c:v>
                </c:pt>
                <c:pt idx="840">
                  <c:v>43.904100000000447</c:v>
                </c:pt>
                <c:pt idx="841">
                  <c:v>43.904200000000451</c:v>
                </c:pt>
                <c:pt idx="842">
                  <c:v>43.904300000000454</c:v>
                </c:pt>
                <c:pt idx="843">
                  <c:v>43.904400000000457</c:v>
                </c:pt>
                <c:pt idx="844">
                  <c:v>43.904500000000461</c:v>
                </c:pt>
                <c:pt idx="845">
                  <c:v>43.904600000000464</c:v>
                </c:pt>
                <c:pt idx="846">
                  <c:v>43.904700000000467</c:v>
                </c:pt>
                <c:pt idx="847">
                  <c:v>43.904800000000471</c:v>
                </c:pt>
                <c:pt idx="848">
                  <c:v>43.904900000000474</c:v>
                </c:pt>
                <c:pt idx="849">
                  <c:v>43.905000000000477</c:v>
                </c:pt>
                <c:pt idx="850">
                  <c:v>43.905100000000481</c:v>
                </c:pt>
                <c:pt idx="851">
                  <c:v>43.905200000000484</c:v>
                </c:pt>
                <c:pt idx="852">
                  <c:v>43.905300000000487</c:v>
                </c:pt>
                <c:pt idx="853">
                  <c:v>43.90540000000049</c:v>
                </c:pt>
                <c:pt idx="854">
                  <c:v>43.905500000000494</c:v>
                </c:pt>
                <c:pt idx="855">
                  <c:v>43.905600000000497</c:v>
                </c:pt>
                <c:pt idx="856">
                  <c:v>43.9057000000005</c:v>
                </c:pt>
                <c:pt idx="857">
                  <c:v>43.905800000000504</c:v>
                </c:pt>
                <c:pt idx="858">
                  <c:v>43.905900000000507</c:v>
                </c:pt>
                <c:pt idx="859">
                  <c:v>43.90600000000051</c:v>
                </c:pt>
                <c:pt idx="860">
                  <c:v>43.906100000000514</c:v>
                </c:pt>
                <c:pt idx="861">
                  <c:v>43.906200000000517</c:v>
                </c:pt>
                <c:pt idx="862">
                  <c:v>43.90630000000052</c:v>
                </c:pt>
                <c:pt idx="863">
                  <c:v>43.906400000000524</c:v>
                </c:pt>
                <c:pt idx="864">
                  <c:v>43.906500000000527</c:v>
                </c:pt>
                <c:pt idx="865">
                  <c:v>43.90660000000053</c:v>
                </c:pt>
                <c:pt idx="866">
                  <c:v>43.906700000000534</c:v>
                </c:pt>
                <c:pt idx="867">
                  <c:v>43.906800000000537</c:v>
                </c:pt>
                <c:pt idx="868">
                  <c:v>43.90690000000054</c:v>
                </c:pt>
                <c:pt idx="869">
                  <c:v>43.907000000000544</c:v>
                </c:pt>
                <c:pt idx="870">
                  <c:v>43.907100000000547</c:v>
                </c:pt>
                <c:pt idx="871">
                  <c:v>43.90720000000055</c:v>
                </c:pt>
                <c:pt idx="872">
                  <c:v>43.907300000000554</c:v>
                </c:pt>
                <c:pt idx="873">
                  <c:v>43.907400000000557</c:v>
                </c:pt>
                <c:pt idx="874">
                  <c:v>43.90750000000056</c:v>
                </c:pt>
                <c:pt idx="875">
                  <c:v>43.907600000000564</c:v>
                </c:pt>
                <c:pt idx="876">
                  <c:v>43.907700000000567</c:v>
                </c:pt>
                <c:pt idx="877">
                  <c:v>43.90780000000057</c:v>
                </c:pt>
                <c:pt idx="878">
                  <c:v>43.907900000000573</c:v>
                </c:pt>
                <c:pt idx="879">
                  <c:v>43.908000000000577</c:v>
                </c:pt>
                <c:pt idx="880">
                  <c:v>43.90810000000058</c:v>
                </c:pt>
                <c:pt idx="881">
                  <c:v>43.908200000000583</c:v>
                </c:pt>
                <c:pt idx="882">
                  <c:v>43.908300000000587</c:v>
                </c:pt>
                <c:pt idx="883">
                  <c:v>43.90840000000059</c:v>
                </c:pt>
                <c:pt idx="884">
                  <c:v>43.908500000000593</c:v>
                </c:pt>
                <c:pt idx="885">
                  <c:v>43.908600000000597</c:v>
                </c:pt>
                <c:pt idx="886">
                  <c:v>43.9087000000006</c:v>
                </c:pt>
                <c:pt idx="887">
                  <c:v>43.908800000000603</c:v>
                </c:pt>
                <c:pt idx="888">
                  <c:v>43.908900000000607</c:v>
                </c:pt>
                <c:pt idx="889">
                  <c:v>43.90900000000061</c:v>
                </c:pt>
                <c:pt idx="890">
                  <c:v>43.909100000000613</c:v>
                </c:pt>
                <c:pt idx="891">
                  <c:v>43.909200000000617</c:v>
                </c:pt>
                <c:pt idx="892">
                  <c:v>43.90930000000062</c:v>
                </c:pt>
                <c:pt idx="893">
                  <c:v>43.909400000000623</c:v>
                </c:pt>
                <c:pt idx="894">
                  <c:v>43.909500000000627</c:v>
                </c:pt>
                <c:pt idx="895">
                  <c:v>43.90960000000063</c:v>
                </c:pt>
                <c:pt idx="896">
                  <c:v>43.909700000000633</c:v>
                </c:pt>
                <c:pt idx="897">
                  <c:v>43.909800000000637</c:v>
                </c:pt>
                <c:pt idx="898">
                  <c:v>43.90990000000064</c:v>
                </c:pt>
                <c:pt idx="899">
                  <c:v>43.910000000000643</c:v>
                </c:pt>
                <c:pt idx="900">
                  <c:v>43.910100000000647</c:v>
                </c:pt>
                <c:pt idx="901">
                  <c:v>43.91020000000065</c:v>
                </c:pt>
                <c:pt idx="902">
                  <c:v>43.910300000000653</c:v>
                </c:pt>
                <c:pt idx="903">
                  <c:v>43.910400000000656</c:v>
                </c:pt>
                <c:pt idx="904">
                  <c:v>43.91050000000066</c:v>
                </c:pt>
                <c:pt idx="905">
                  <c:v>43.910600000000663</c:v>
                </c:pt>
                <c:pt idx="906">
                  <c:v>43.910700000000666</c:v>
                </c:pt>
                <c:pt idx="907">
                  <c:v>43.91080000000067</c:v>
                </c:pt>
                <c:pt idx="908">
                  <c:v>43.910900000000673</c:v>
                </c:pt>
                <c:pt idx="909">
                  <c:v>43.911000000000676</c:v>
                </c:pt>
                <c:pt idx="910">
                  <c:v>43.91110000000068</c:v>
                </c:pt>
                <c:pt idx="911">
                  <c:v>43.911200000000683</c:v>
                </c:pt>
                <c:pt idx="912">
                  <c:v>43.911300000000686</c:v>
                </c:pt>
                <c:pt idx="913">
                  <c:v>43.91140000000069</c:v>
                </c:pt>
                <c:pt idx="914">
                  <c:v>43.911500000000693</c:v>
                </c:pt>
                <c:pt idx="915">
                  <c:v>43.911600000000696</c:v>
                </c:pt>
                <c:pt idx="916">
                  <c:v>43.9117000000007</c:v>
                </c:pt>
                <c:pt idx="917">
                  <c:v>43.911800000000703</c:v>
                </c:pt>
                <c:pt idx="918">
                  <c:v>43.911900000000706</c:v>
                </c:pt>
                <c:pt idx="919">
                  <c:v>43.91200000000071</c:v>
                </c:pt>
                <c:pt idx="920">
                  <c:v>43.912100000000713</c:v>
                </c:pt>
                <c:pt idx="921">
                  <c:v>43.912200000000716</c:v>
                </c:pt>
                <c:pt idx="922">
                  <c:v>43.91230000000072</c:v>
                </c:pt>
                <c:pt idx="923">
                  <c:v>43.912400000000723</c:v>
                </c:pt>
                <c:pt idx="924">
                  <c:v>43.912500000000726</c:v>
                </c:pt>
                <c:pt idx="925">
                  <c:v>43.912600000000729</c:v>
                </c:pt>
                <c:pt idx="926">
                  <c:v>43.912700000000733</c:v>
                </c:pt>
                <c:pt idx="927">
                  <c:v>43.912800000000736</c:v>
                </c:pt>
                <c:pt idx="928">
                  <c:v>43.912900000000739</c:v>
                </c:pt>
                <c:pt idx="929">
                  <c:v>43.913000000000743</c:v>
                </c:pt>
                <c:pt idx="930">
                  <c:v>43.913100000000746</c:v>
                </c:pt>
                <c:pt idx="931">
                  <c:v>43.913200000000749</c:v>
                </c:pt>
                <c:pt idx="932">
                  <c:v>43.913300000000753</c:v>
                </c:pt>
                <c:pt idx="933">
                  <c:v>43.913400000000756</c:v>
                </c:pt>
                <c:pt idx="934">
                  <c:v>43.913500000000759</c:v>
                </c:pt>
                <c:pt idx="935">
                  <c:v>43.913600000000763</c:v>
                </c:pt>
                <c:pt idx="936">
                  <c:v>43.913700000000766</c:v>
                </c:pt>
                <c:pt idx="937">
                  <c:v>43.913800000000769</c:v>
                </c:pt>
                <c:pt idx="938">
                  <c:v>43.913900000000773</c:v>
                </c:pt>
                <c:pt idx="939">
                  <c:v>43.914000000000776</c:v>
                </c:pt>
                <c:pt idx="940">
                  <c:v>43.914100000000779</c:v>
                </c:pt>
                <c:pt idx="941">
                  <c:v>43.914200000000783</c:v>
                </c:pt>
                <c:pt idx="942">
                  <c:v>43.914300000000786</c:v>
                </c:pt>
                <c:pt idx="943">
                  <c:v>43.914400000000789</c:v>
                </c:pt>
                <c:pt idx="944">
                  <c:v>43.914500000000793</c:v>
                </c:pt>
                <c:pt idx="945">
                  <c:v>43.914600000000796</c:v>
                </c:pt>
                <c:pt idx="946">
                  <c:v>43.914700000000799</c:v>
                </c:pt>
                <c:pt idx="947">
                  <c:v>43.914800000000803</c:v>
                </c:pt>
                <c:pt idx="948">
                  <c:v>43.914900000000806</c:v>
                </c:pt>
                <c:pt idx="949">
                  <c:v>43.915000000000809</c:v>
                </c:pt>
                <c:pt idx="950">
                  <c:v>43.915100000000812</c:v>
                </c:pt>
                <c:pt idx="951">
                  <c:v>43.915200000000816</c:v>
                </c:pt>
                <c:pt idx="952">
                  <c:v>43.915300000000819</c:v>
                </c:pt>
                <c:pt idx="953">
                  <c:v>43.915400000000822</c:v>
                </c:pt>
                <c:pt idx="954">
                  <c:v>43.915500000000826</c:v>
                </c:pt>
                <c:pt idx="955">
                  <c:v>43.915600000000829</c:v>
                </c:pt>
                <c:pt idx="956">
                  <c:v>43.915700000000832</c:v>
                </c:pt>
                <c:pt idx="957">
                  <c:v>43.915800000000836</c:v>
                </c:pt>
                <c:pt idx="958">
                  <c:v>43.915900000000839</c:v>
                </c:pt>
                <c:pt idx="959">
                  <c:v>43.916000000000842</c:v>
                </c:pt>
                <c:pt idx="960">
                  <c:v>43.916100000000846</c:v>
                </c:pt>
                <c:pt idx="961">
                  <c:v>43.916200000000849</c:v>
                </c:pt>
                <c:pt idx="962">
                  <c:v>43.916300000000852</c:v>
                </c:pt>
                <c:pt idx="963">
                  <c:v>43.916400000000856</c:v>
                </c:pt>
                <c:pt idx="964">
                  <c:v>43.916500000000859</c:v>
                </c:pt>
                <c:pt idx="965">
                  <c:v>43.916600000000862</c:v>
                </c:pt>
                <c:pt idx="966">
                  <c:v>43.916700000000866</c:v>
                </c:pt>
                <c:pt idx="967">
                  <c:v>43.916800000000869</c:v>
                </c:pt>
                <c:pt idx="968">
                  <c:v>43.916900000000872</c:v>
                </c:pt>
                <c:pt idx="969">
                  <c:v>43.917000000000876</c:v>
                </c:pt>
                <c:pt idx="970">
                  <c:v>43.917100000000879</c:v>
                </c:pt>
                <c:pt idx="971">
                  <c:v>43.917200000000882</c:v>
                </c:pt>
                <c:pt idx="972">
                  <c:v>43.917300000000886</c:v>
                </c:pt>
                <c:pt idx="973">
                  <c:v>43.917400000000889</c:v>
                </c:pt>
                <c:pt idx="974">
                  <c:v>43.917500000000892</c:v>
                </c:pt>
                <c:pt idx="975">
                  <c:v>43.917600000000895</c:v>
                </c:pt>
                <c:pt idx="976">
                  <c:v>43.917700000000899</c:v>
                </c:pt>
                <c:pt idx="977">
                  <c:v>43.917800000000902</c:v>
                </c:pt>
                <c:pt idx="978">
                  <c:v>43.917900000000905</c:v>
                </c:pt>
                <c:pt idx="979">
                  <c:v>43.918000000000909</c:v>
                </c:pt>
                <c:pt idx="980">
                  <c:v>43.918100000000912</c:v>
                </c:pt>
                <c:pt idx="981">
                  <c:v>43.918200000000915</c:v>
                </c:pt>
                <c:pt idx="982">
                  <c:v>43.918300000000919</c:v>
                </c:pt>
                <c:pt idx="983">
                  <c:v>43.918400000000922</c:v>
                </c:pt>
                <c:pt idx="984">
                  <c:v>43.918500000000925</c:v>
                </c:pt>
                <c:pt idx="985">
                  <c:v>43.918600000000929</c:v>
                </c:pt>
                <c:pt idx="986">
                  <c:v>43.918700000000932</c:v>
                </c:pt>
                <c:pt idx="987">
                  <c:v>43.918800000000935</c:v>
                </c:pt>
                <c:pt idx="988">
                  <c:v>43.918900000000939</c:v>
                </c:pt>
                <c:pt idx="989">
                  <c:v>43.919000000000942</c:v>
                </c:pt>
                <c:pt idx="990">
                  <c:v>43.919100000000945</c:v>
                </c:pt>
                <c:pt idx="991">
                  <c:v>43.919200000000949</c:v>
                </c:pt>
                <c:pt idx="992">
                  <c:v>43.919300000000952</c:v>
                </c:pt>
                <c:pt idx="993">
                  <c:v>43.919400000000955</c:v>
                </c:pt>
                <c:pt idx="994">
                  <c:v>43.919500000000959</c:v>
                </c:pt>
                <c:pt idx="995">
                  <c:v>43.919600000000962</c:v>
                </c:pt>
                <c:pt idx="996">
                  <c:v>43.919700000000965</c:v>
                </c:pt>
                <c:pt idx="997">
                  <c:v>43.919800000000969</c:v>
                </c:pt>
                <c:pt idx="998">
                  <c:v>43.919900000000972</c:v>
                </c:pt>
                <c:pt idx="999">
                  <c:v>43.920000000000975</c:v>
                </c:pt>
                <c:pt idx="1000">
                  <c:v>43.920100000000978</c:v>
                </c:pt>
              </c:numCache>
            </c:numRef>
          </c:xVal>
          <c:yVal>
            <c:numRef>
              <c:f>Calculs!$AE$4:$AE$1004</c:f>
              <c:numCache>
                <c:formatCode>0</c:formatCode>
                <c:ptCount val="1001"/>
                <c:pt idx="0">
                  <c:v>0</c:v>
                </c:pt>
                <c:pt idx="1">
                  <c:v>0.98473700747290427</c:v>
                </c:pt>
                <c:pt idx="2">
                  <c:v>1.9707925741889669</c:v>
                </c:pt>
                <c:pt idx="3">
                  <c:v>2.9610860184747216</c:v>
                </c:pt>
                <c:pt idx="4">
                  <c:v>3.9585357304745465</c:v>
                </c:pt>
                <c:pt idx="5">
                  <c:v>4.9660456277968521</c:v>
                </c:pt>
                <c:pt idx="6">
                  <c:v>5.9857801416581502</c:v>
                </c:pt>
                <c:pt idx="7">
                  <c:v>7.0184377263080782</c:v>
                </c:pt>
                <c:pt idx="8">
                  <c:v>8.0639758970996578</c:v>
                </c:pt>
                <c:pt idx="9">
                  <c:v>9.1223519271825548</c:v>
                </c:pt>
                <c:pt idx="10">
                  <c:v>10.193522849710263</c:v>
                </c:pt>
                <c:pt idx="11">
                  <c:v>11.277445460068151</c:v>
                </c:pt>
                <c:pt idx="12">
                  <c:v>12.374076318121705</c:v>
                </c:pt>
                <c:pt idx="13">
                  <c:v>13.483371750484361</c:v>
                </c:pt>
                <c:pt idx="14">
                  <c:v>14.605287852804278</c:v>
                </c:pt>
                <c:pt idx="15">
                  <c:v>15.739780492069482</c:v>
                </c:pt>
                <c:pt idx="16">
                  <c:v>16.886805308930761</c:v>
                </c:pt>
                <c:pt idx="17">
                  <c:v>18.046317720041731</c:v>
                </c:pt>
                <c:pt idx="18">
                  <c:v>19.218272920415501</c:v>
                </c:pt>
                <c:pt idx="19">
                  <c:v>20.402625885797381</c:v>
                </c:pt>
                <c:pt idx="20">
                  <c:v>21.599331375053055</c:v>
                </c:pt>
                <c:pt idx="21">
                  <c:v>22.808343932571688</c:v>
                </c:pt>
                <c:pt idx="22">
                  <c:v>24.029617890683419</c:v>
                </c:pt>
                <c:pt idx="23">
                  <c:v>25.263107372090694</c:v>
                </c:pt>
                <c:pt idx="24">
                  <c:v>26.508766292312938</c:v>
                </c:pt>
                <c:pt idx="25">
                  <c:v>27.766548362144015</c:v>
                </c:pt>
                <c:pt idx="26">
                  <c:v>29.036407090121966</c:v>
                </c:pt>
                <c:pt idx="27">
                  <c:v>30.318295785010548</c:v>
                </c:pt>
                <c:pt idx="28">
                  <c:v>31.612167558292008</c:v>
                </c:pt>
                <c:pt idx="29">
                  <c:v>32.917975326670643</c:v>
                </c:pt>
                <c:pt idx="30">
                  <c:v>34.235671814586652</c:v>
                </c:pt>
                <c:pt idx="31">
                  <c:v>35.565209556739731</c:v>
                </c:pt>
                <c:pt idx="32">
                  <c:v>36.906540900621998</c:v>
                </c:pt>
                <c:pt idx="33">
                  <c:v>38.259618009059736</c:v>
                </c:pt>
                <c:pt idx="34">
                  <c:v>39.624392862763472</c:v>
                </c:pt>
                <c:pt idx="35">
                  <c:v>41.000817262885903</c:v>
                </c:pt>
                <c:pt idx="36">
                  <c:v>42.388842833587283</c:v>
                </c:pt>
                <c:pt idx="37">
                  <c:v>43.788421024607679</c:v>
                </c:pt>
                <c:pt idx="38">
                  <c:v>45.199503113845751</c:v>
                </c:pt>
                <c:pt idx="39">
                  <c:v>46.622040209943556</c:v>
                </c:pt>
                <c:pt idx="40">
                  <c:v>48.055983254876885</c:v>
                </c:pt>
                <c:pt idx="41">
                  <c:v>49.501283026550759</c:v>
                </c:pt>
                <c:pt idx="42">
                  <c:v>50.957890141399595</c:v>
                </c:pt>
                <c:pt idx="43">
                  <c:v>52.425755056991591</c:v>
                </c:pt>
                <c:pt idx="44">
                  <c:v>53.904828074636939</c:v>
                </c:pt>
                <c:pt idx="45">
                  <c:v>55.395059341999392</c:v>
                </c:pt>
                <c:pt idx="46">
                  <c:v>56.896398855710757</c:v>
                </c:pt>
                <c:pt idx="47">
                  <c:v>58.408796463987933</c:v>
                </c:pt>
                <c:pt idx="48">
                  <c:v>59.932201869252012</c:v>
                </c:pt>
                <c:pt idx="49">
                  <c:v>61.466564630749055</c:v>
                </c:pt>
                <c:pt idx="50">
                  <c:v>63.011834167172154</c:v>
                </c:pt>
                <c:pt idx="51">
                  <c:v>64.567963696245272</c:v>
                </c:pt>
                <c:pt idx="52">
                  <c:v>66.13491417602863</c:v>
                </c:pt>
                <c:pt idx="53">
                  <c:v>67.712650368503375</c:v>
                </c:pt>
                <c:pt idx="54">
                  <c:v>69.301136901011404</c:v>
                </c:pt>
                <c:pt idx="55">
                  <c:v>70.900338268033593</c:v>
                </c:pt>
                <c:pt idx="56">
                  <c:v>72.510218832972328</c:v>
                </c:pt>
                <c:pt idx="57">
                  <c:v>74.130742829938129</c:v>
                </c:pt>
                <c:pt idx="58">
                  <c:v>75.761874365540137</c:v>
                </c:pt>
                <c:pt idx="59">
                  <c:v>77.403577420680165</c:v>
                </c:pt>
                <c:pt idx="60">
                  <c:v>79.055815852350065</c:v>
                </c:pt>
                <c:pt idx="61">
                  <c:v>80.718553395432181</c:v>
                </c:pt>
                <c:pt idx="62">
                  <c:v>82.391753664502673</c:v>
                </c:pt>
                <c:pt idx="63">
                  <c:v>84.075380155637333</c:v>
                </c:pt>
                <c:pt idx="64">
                  <c:v>85.769396248219863</c:v>
                </c:pt>
                <c:pt idx="65">
                  <c:v>87.473765206752091</c:v>
                </c:pt>
                <c:pt idx="66">
                  <c:v>89.188450182666188</c:v>
                </c:pt>
                <c:pt idx="67">
                  <c:v>90.913414216138392</c:v>
                </c:pt>
                <c:pt idx="68">
                  <c:v>92.64862023790414</c:v>
                </c:pt>
                <c:pt idx="69">
                  <c:v>94.394031071074309</c:v>
                </c:pt>
                <c:pt idx="70">
                  <c:v>96.14960943295236</c:v>
                </c:pt>
                <c:pt idx="71">
                  <c:v>97.915317936852134</c:v>
                </c:pt>
                <c:pt idx="72">
                  <c:v>99.691119093916086</c:v>
                </c:pt>
                <c:pt idx="73">
                  <c:v>101.47697531493367</c:v>
                </c:pt>
                <c:pt idx="74">
                  <c:v>103.27284891215973</c:v>
                </c:pt>
                <c:pt idx="75">
                  <c:v>105.07870210113261</c:v>
                </c:pt>
                <c:pt idx="76">
                  <c:v>106.8944970024917</c:v>
                </c:pt>
                <c:pt idx="77">
                  <c:v>108.72019564379444</c:v>
                </c:pt>
                <c:pt idx="78">
                  <c:v>110.55575996133214</c:v>
                </c:pt>
                <c:pt idx="79">
                  <c:v>112.40115180194485</c:v>
                </c:pt>
                <c:pt idx="80">
                  <c:v>114.25633292483468</c:v>
                </c:pt>
                <c:pt idx="81">
                  <c:v>116.12126500337764</c:v>
                </c:pt>
                <c:pt idx="82">
                  <c:v>117.99590962693364</c:v>
                </c:pt>
                <c:pt idx="83">
                  <c:v>119.88022830265433</c:v>
                </c:pt>
                <c:pt idx="84">
                  <c:v>121.77418245728894</c:v>
                </c:pt>
                <c:pt idx="85">
                  <c:v>123.67773343898742</c:v>
                </c:pt>
                <c:pt idx="86">
                  <c:v>125.59084251910106</c:v>
                </c:pt>
                <c:pt idx="87">
                  <c:v>127.51347089398026</c:v>
                </c:pt>
                <c:pt idx="88">
                  <c:v>129.44557968676909</c:v>
                </c:pt>
                <c:pt idx="89">
                  <c:v>131.38712994919675</c:v>
                </c:pt>
                <c:pt idx="90">
                  <c:v>133.33808266336544</c:v>
                </c:pt>
                <c:pt idx="91">
                  <c:v>135.29839874353465</c:v>
                </c:pt>
                <c:pt idx="92">
                  <c:v>137.26803903790145</c:v>
                </c:pt>
                <c:pt idx="93">
                  <c:v>139.24696433037687</c:v>
                </c:pt>
                <c:pt idx="94">
                  <c:v>141.23513534235798</c:v>
                </c:pt>
                <c:pt idx="95">
                  <c:v>143.23251273449554</c:v>
                </c:pt>
                <c:pt idx="96">
                  <c:v>145.23905710845696</c:v>
                </c:pt>
                <c:pt idx="97">
                  <c:v>147.25472900868456</c:v>
                </c:pt>
                <c:pt idx="98">
                  <c:v>149.27948892414881</c:v>
                </c:pt>
                <c:pt idx="99">
                  <c:v>151.3132972900963</c:v>
                </c:pt>
                <c:pt idx="100">
                  <c:v>153.35611448979256</c:v>
                </c:pt>
                <c:pt idx="101">
                  <c:v>155.40789902147051</c:v>
                </c:pt>
                <c:pt idx="102">
                  <c:v>157.46860566617082</c:v>
                </c:pt>
                <c:pt idx="103">
                  <c:v>159.53818732851278</c:v>
                </c:pt>
                <c:pt idx="104">
                  <c:v>161.61659687672525</c:v>
                </c:pt>
                <c:pt idx="105">
                  <c:v>163.70378714468549</c:v>
                </c:pt>
                <c:pt idx="106">
                  <c:v>165.79971093394778</c:v>
                </c:pt>
                <c:pt idx="107">
                  <c:v>167.90432101576221</c:v>
                </c:pt>
                <c:pt idx="108">
                  <c:v>170.01757013308296</c:v>
                </c:pt>
                <c:pt idx="109">
                  <c:v>172.13941100256613</c:v>
                </c:pt>
                <c:pt idx="110">
                  <c:v>174.26979631655689</c:v>
                </c:pt>
                <c:pt idx="111">
                  <c:v>176.4086787450658</c:v>
                </c:pt>
                <c:pt idx="112">
                  <c:v>178.55601093773407</c:v>
                </c:pt>
                <c:pt idx="113">
                  <c:v>180.71174552578765</c:v>
                </c:pt>
                <c:pt idx="114">
                  <c:v>182.87583512397993</c:v>
                </c:pt>
                <c:pt idx="115">
                  <c:v>185.04823233252293</c:v>
                </c:pt>
                <c:pt idx="116">
                  <c:v>187.22888973900692</c:v>
                </c:pt>
                <c:pt idx="117">
                  <c:v>189.41775992030801</c:v>
                </c:pt>
                <c:pt idx="118">
                  <c:v>191.61479544448395</c:v>
                </c:pt>
                <c:pt idx="119">
                  <c:v>193.81994887265762</c:v>
                </c:pt>
                <c:pt idx="120">
                  <c:v>196.03317276088848</c:v>
                </c:pt>
                <c:pt idx="121">
                  <c:v>198.25441966203144</c:v>
                </c:pt>
                <c:pt idx="122">
                  <c:v>200.48364212758315</c:v>
                </c:pt>
                <c:pt idx="123">
                  <c:v>202.72079270951585</c:v>
                </c:pt>
                <c:pt idx="124">
                  <c:v>204.96582396209809</c:v>
                </c:pt>
                <c:pt idx="125">
                  <c:v>207.2186884437028</c:v>
                </c:pt>
                <c:pt idx="126">
                  <c:v>209.47933871860215</c:v>
                </c:pt>
                <c:pt idx="127">
                  <c:v>211.7477273587493</c:v>
                </c:pt>
                <c:pt idx="128">
                  <c:v>214.0238069455468</c:v>
                </c:pt>
                <c:pt idx="129">
                  <c:v>216.30753007160166</c:v>
                </c:pt>
                <c:pt idx="130">
                  <c:v>218.59884934246691</c:v>
                </c:pt>
                <c:pt idx="131">
                  <c:v>220.89771737836946</c:v>
                </c:pt>
                <c:pt idx="132">
                  <c:v>223.20408681592434</c:v>
                </c:pt>
                <c:pt idx="133">
                  <c:v>225.51791030983512</c:v>
                </c:pt>
                <c:pt idx="134">
                  <c:v>227.83914053458034</c:v>
                </c:pt>
                <c:pt idx="135">
                  <c:v>230.16773018608603</c:v>
                </c:pt>
                <c:pt idx="136">
                  <c:v>232.50363198338414</c:v>
                </c:pt>
                <c:pt idx="137">
                  <c:v>234.84679867025673</c:v>
                </c:pt>
                <c:pt idx="138">
                  <c:v>237.19718301686595</c:v>
                </c:pt>
                <c:pt idx="139">
                  <c:v>239.55473782136974</c:v>
                </c:pt>
                <c:pt idx="140">
                  <c:v>241.91941591152303</c:v>
                </c:pt>
                <c:pt idx="141">
                  <c:v>244.29117014626451</c:v>
                </c:pt>
                <c:pt idx="142">
                  <c:v>246.66995341728881</c:v>
                </c:pt>
                <c:pt idx="143">
                  <c:v>249.05571865060426</c:v>
                </c:pt>
                <c:pt idx="144">
                  <c:v>251.44841880807564</c:v>
                </c:pt>
                <c:pt idx="145">
                  <c:v>253.84800688895251</c:v>
                </c:pt>
                <c:pt idx="146">
                  <c:v>256.2544359313826</c:v>
                </c:pt>
                <c:pt idx="147">
                  <c:v>258.66765901391034</c:v>
                </c:pt>
                <c:pt idx="148">
                  <c:v>261.08762925696061</c:v>
                </c:pt>
                <c:pt idx="149">
                  <c:v>263.5142998243075</c:v>
                </c:pt>
                <c:pt idx="150">
                  <c:v>265.94762392452799</c:v>
                </c:pt>
                <c:pt idx="151">
                  <c:v>268.38755544311249</c:v>
                </c:pt>
                <c:pt idx="152">
                  <c:v>270.83404957368759</c:v>
                </c:pt>
                <c:pt idx="153">
                  <c:v>273.28706218623444</c:v>
                </c:pt>
                <c:pt idx="154">
                  <c:v>275.74654919612357</c:v>
                </c:pt>
                <c:pt idx="155">
                  <c:v>278.21246656541138</c:v>
                </c:pt>
                <c:pt idx="156">
                  <c:v>280.68477030412311</c:v>
                </c:pt>
                <c:pt idx="157">
                  <c:v>283.16341647152194</c:v>
                </c:pt>
                <c:pt idx="158">
                  <c:v>285.64836117736445</c:v>
                </c:pt>
                <c:pt idx="159">
                  <c:v>288.13956058314193</c:v>
                </c:pt>
                <c:pt idx="160">
                  <c:v>290.6369709033084</c:v>
                </c:pt>
                <c:pt idx="161">
                  <c:v>293.14054840649425</c:v>
                </c:pt>
                <c:pt idx="162">
                  <c:v>295.65024941670663</c:v>
                </c:pt>
                <c:pt idx="163">
                  <c:v>298.16603031451535</c:v>
                </c:pt>
                <c:pt idx="164">
                  <c:v>300.68784753822553</c:v>
                </c:pt>
                <c:pt idx="165">
                  <c:v>303.21565758503584</c:v>
                </c:pt>
                <c:pt idx="166">
                  <c:v>305.74941701218341</c:v>
                </c:pt>
                <c:pt idx="167">
                  <c:v>308.28908243807433</c:v>
                </c:pt>
                <c:pt idx="168">
                  <c:v>310.83461054340074</c:v>
                </c:pt>
                <c:pt idx="169">
                  <c:v>313.38595807224374</c:v>
                </c:pt>
                <c:pt idx="170">
                  <c:v>315.94308183316269</c:v>
                </c:pt>
                <c:pt idx="171">
                  <c:v>318.50593870027041</c:v>
                </c:pt>
                <c:pt idx="172">
                  <c:v>321.07448561429476</c:v>
                </c:pt>
                <c:pt idx="173">
                  <c:v>323.64867958362618</c:v>
                </c:pt>
                <c:pt idx="174">
                  <c:v>326.22847768535166</c:v>
                </c:pt>
                <c:pt idx="175">
                  <c:v>328.81383706627469</c:v>
                </c:pt>
                <c:pt idx="176">
                  <c:v>331.40471494392153</c:v>
                </c:pt>
                <c:pt idx="177">
                  <c:v>334.00106860753368</c:v>
                </c:pt>
                <c:pt idx="178">
                  <c:v>336.6028554190467</c:v>
                </c:pt>
                <c:pt idx="179">
                  <c:v>339.21003281405518</c:v>
                </c:pt>
                <c:pt idx="180">
                  <c:v>341.82255830276409</c:v>
                </c:pt>
                <c:pt idx="181">
                  <c:v>344.4403894709265</c:v>
                </c:pt>
                <c:pt idx="182">
                  <c:v>347.06348398076761</c:v>
                </c:pt>
                <c:pt idx="183">
                  <c:v>349.6917995718951</c:v>
                </c:pt>
                <c:pt idx="184">
                  <c:v>352.32529406219612</c:v>
                </c:pt>
                <c:pt idx="185">
                  <c:v>354.96392534872047</c:v>
                </c:pt>
                <c:pt idx="186">
                  <c:v>357.60765140855068</c:v>
                </c:pt>
                <c:pt idx="187">
                  <c:v>360.25643029965806</c:v>
                </c:pt>
                <c:pt idx="188">
                  <c:v>362.91022016174588</c:v>
                </c:pt>
                <c:pt idx="189">
                  <c:v>365.56897921707883</c:v>
                </c:pt>
                <c:pt idx="190">
                  <c:v>368.2326657712992</c:v>
                </c:pt>
                <c:pt idx="191">
                  <c:v>370.90123821422986</c:v>
                </c:pt>
                <c:pt idx="192">
                  <c:v>373.57465502066395</c:v>
                </c:pt>
                <c:pt idx="193">
                  <c:v>376.25287475114129</c:v>
                </c:pt>
                <c:pt idx="194">
                  <c:v>378.93585605271164</c:v>
                </c:pt>
                <c:pt idx="195">
                  <c:v>381.62355765968505</c:v>
                </c:pt>
                <c:pt idx="196">
                  <c:v>384.31593839436891</c:v>
                </c:pt>
                <c:pt idx="197">
                  <c:v>387.01295716779208</c:v>
                </c:pt>
                <c:pt idx="198">
                  <c:v>389.71457298041616</c:v>
                </c:pt>
                <c:pt idx="199">
                  <c:v>392.42074492283371</c:v>
                </c:pt>
                <c:pt idx="200">
                  <c:v>395.13143217645376</c:v>
                </c:pt>
                <c:pt idx="201">
                  <c:v>397.84659401417463</c:v>
                </c:pt>
                <c:pt idx="202">
                  <c:v>400.56618980104372</c:v>
                </c:pt>
                <c:pt idx="203">
                  <c:v>403.29017899490486</c:v>
                </c:pt>
                <c:pt idx="204">
                  <c:v>406.0185211470332</c:v>
                </c:pt>
                <c:pt idx="205">
                  <c:v>408.7511759027571</c:v>
                </c:pt>
                <c:pt idx="206">
                  <c:v>411.48810300206821</c:v>
                </c:pt>
                <c:pt idx="207">
                  <c:v>414.22926228021845</c:v>
                </c:pt>
                <c:pt idx="208">
                  <c:v>416.97461366830515</c:v>
                </c:pt>
                <c:pt idx="209">
                  <c:v>419.72411719384377</c:v>
                </c:pt>
                <c:pt idx="210">
                  <c:v>422.4777329813283</c:v>
                </c:pt>
                <c:pt idx="211">
                  <c:v>425.2354212527797</c:v>
                </c:pt>
                <c:pt idx="212">
                  <c:v>427.99714232828211</c:v>
                </c:pt>
                <c:pt idx="213">
                  <c:v>430.76285662650719</c:v>
                </c:pt>
                <c:pt idx="214">
                  <c:v>433.53252466522645</c:v>
                </c:pt>
                <c:pt idx="215">
                  <c:v>436.30610706181182</c:v>
                </c:pt>
                <c:pt idx="216">
                  <c:v>439.08356453372431</c:v>
                </c:pt>
                <c:pt idx="217">
                  <c:v>441.8648578989912</c:v>
                </c:pt>
                <c:pt idx="218">
                  <c:v>444.64994807667131</c:v>
                </c:pt>
                <c:pt idx="219">
                  <c:v>447.43879608730873</c:v>
                </c:pt>
                <c:pt idx="220">
                  <c:v>450.2313630533755</c:v>
                </c:pt>
                <c:pt idx="221">
                  <c:v>453.02761019970228</c:v>
                </c:pt>
                <c:pt idx="222">
                  <c:v>455.82749885389813</c:v>
                </c:pt>
                <c:pt idx="223">
                  <c:v>458.63099044675897</c:v>
                </c:pt>
                <c:pt idx="224">
                  <c:v>461.43804651266464</c:v>
                </c:pt>
                <c:pt idx="225">
                  <c:v>464.24862868996513</c:v>
                </c:pt>
                <c:pt idx="226">
                  <c:v>467.06269872135573</c:v>
                </c:pt>
                <c:pt idx="227">
                  <c:v>469.88021845424123</c:v>
                </c:pt>
                <c:pt idx="228">
                  <c:v>472.70114984108926</c:v>
                </c:pt>
                <c:pt idx="229">
                  <c:v>475.52545493977289</c:v>
                </c:pt>
                <c:pt idx="230">
                  <c:v>478.35309591390251</c:v>
                </c:pt>
                <c:pt idx="231">
                  <c:v>481.18403503314727</c:v>
                </c:pt>
                <c:pt idx="232">
                  <c:v>484.01823467354569</c:v>
                </c:pt>
                <c:pt idx="233">
                  <c:v>486.85565731780628</c:v>
                </c:pt>
                <c:pt idx="234">
                  <c:v>489.69626555559734</c:v>
                </c:pt>
                <c:pt idx="235">
                  <c:v>492.54002208382673</c:v>
                </c:pt>
                <c:pt idx="236">
                  <c:v>495.38688970691163</c:v>
                </c:pt>
                <c:pt idx="237">
                  <c:v>498.23683133703787</c:v>
                </c:pt>
                <c:pt idx="238">
                  <c:v>501.08980999440939</c:v>
                </c:pt>
                <c:pt idx="239">
                  <c:v>503.94578880748787</c:v>
                </c:pt>
                <c:pt idx="240">
                  <c:v>506.80473101322235</c:v>
                </c:pt>
                <c:pt idx="241">
                  <c:v>509.66659995726928</c:v>
                </c:pt>
                <c:pt idx="242">
                  <c:v>512.5313590942028</c:v>
                </c:pt>
                <c:pt idx="243">
                  <c:v>515.3989719877153</c:v>
                </c:pt>
                <c:pt idx="244">
                  <c:v>518.26940231080891</c:v>
                </c:pt>
                <c:pt idx="245">
                  <c:v>521.14261384597705</c:v>
                </c:pt>
                <c:pt idx="246">
                  <c:v>524.01857048537704</c:v>
                </c:pt>
                <c:pt idx="247">
                  <c:v>526.89723623099349</c:v>
                </c:pt>
                <c:pt idx="248">
                  <c:v>529.7785751947921</c:v>
                </c:pt>
                <c:pt idx="249">
                  <c:v>532.66255159886509</c:v>
                </c:pt>
                <c:pt idx="250">
                  <c:v>535.54912977556694</c:v>
                </c:pt>
                <c:pt idx="251">
                  <c:v>538.43827139841926</c:v>
                </c:pt>
                <c:pt idx="252">
                  <c:v>541.3299327204312</c:v>
                </c:pt>
                <c:pt idx="253">
                  <c:v>544.22406736100527</c:v>
                </c:pt>
                <c:pt idx="254">
                  <c:v>547.12062908546022</c:v>
                </c:pt>
                <c:pt idx="255">
                  <c:v>550.01957180521993</c:v>
                </c:pt>
                <c:pt idx="256">
                  <c:v>552.92084957798886</c:v>
                </c:pt>
                <c:pt idx="257">
                  <c:v>555.82441660791301</c:v>
                </c:pt>
                <c:pt idx="258">
                  <c:v>558.73022724572775</c:v>
                </c:pt>
                <c:pt idx="259">
                  <c:v>561.63823598889178</c:v>
                </c:pt>
                <c:pt idx="260">
                  <c:v>564.54839748170787</c:v>
                </c:pt>
                <c:pt idx="261">
                  <c:v>567.46066651543026</c:v>
                </c:pt>
                <c:pt idx="262">
                  <c:v>570.37499802835907</c:v>
                </c:pt>
                <c:pt idx="263">
                  <c:v>573.29134710592143</c:v>
                </c:pt>
                <c:pt idx="264">
                  <c:v>576.20966898074039</c:v>
                </c:pt>
                <c:pt idx="265">
                  <c:v>579.12991903269051</c:v>
                </c:pt>
                <c:pt idx="266">
                  <c:v>582.0520527889413</c:v>
                </c:pt>
                <c:pt idx="267">
                  <c:v>584.97602592398846</c:v>
                </c:pt>
                <c:pt idx="268">
                  <c:v>587.90179425967244</c:v>
                </c:pt>
                <c:pt idx="269">
                  <c:v>590.82931376518513</c:v>
                </c:pt>
                <c:pt idx="270">
                  <c:v>593.75854055706498</c:v>
                </c:pt>
                <c:pt idx="271">
                  <c:v>596.68943089917968</c:v>
                </c:pt>
                <c:pt idx="272">
                  <c:v>599.62194120269771</c:v>
                </c:pt>
                <c:pt idx="273">
                  <c:v>602.55602802604824</c:v>
                </c:pt>
                <c:pt idx="274">
                  <c:v>605.49164807486932</c:v>
                </c:pt>
                <c:pt idx="275">
                  <c:v>608.4287582019457</c:v>
                </c:pt>
                <c:pt idx="276">
                  <c:v>611.36731540713481</c:v>
                </c:pt>
                <c:pt idx="277">
                  <c:v>614.30727683728219</c:v>
                </c:pt>
                <c:pt idx="278">
                  <c:v>617.24859978612585</c:v>
                </c:pt>
                <c:pt idx="279">
                  <c:v>620.19124169419069</c:v>
                </c:pt>
                <c:pt idx="280">
                  <c:v>623.13516014867139</c:v>
                </c:pt>
                <c:pt idx="281">
                  <c:v>626.08031288330585</c:v>
                </c:pt>
                <c:pt idx="282">
                  <c:v>629.0266577782379</c:v>
                </c:pt>
                <c:pt idx="283">
                  <c:v>631.97415285987029</c:v>
                </c:pt>
                <c:pt idx="284">
                  <c:v>634.92275630070731</c:v>
                </c:pt>
                <c:pt idx="285">
                  <c:v>637.87242641918806</c:v>
                </c:pt>
                <c:pt idx="286">
                  <c:v>640.82312167950988</c:v>
                </c:pt>
                <c:pt idx="287">
                  <c:v>643.77480069144224</c:v>
                </c:pt>
                <c:pt idx="288">
                  <c:v>646.72742221013118</c:v>
                </c:pt>
                <c:pt idx="289">
                  <c:v>649.68094513589472</c:v>
                </c:pt>
                <c:pt idx="290">
                  <c:v>652.63532851400896</c:v>
                </c:pt>
                <c:pt idx="291">
                  <c:v>655.59053153448519</c:v>
                </c:pt>
                <c:pt idx="292">
                  <c:v>658.54651353183851</c:v>
                </c:pt>
                <c:pt idx="293">
                  <c:v>661.50323398484727</c:v>
                </c:pt>
                <c:pt idx="294">
                  <c:v>664.46065251630421</c:v>
                </c:pt>
                <c:pt idx="295">
                  <c:v>667.41872889275896</c:v>
                </c:pt>
                <c:pt idx="296">
                  <c:v>670.37742302425261</c:v>
                </c:pt>
                <c:pt idx="297">
                  <c:v>673.33669496404377</c:v>
                </c:pt>
                <c:pt idx="298">
                  <c:v>676.29647430934915</c:v>
                </c:pt>
                <c:pt idx="299">
                  <c:v>679.25662970024234</c:v>
                </c:pt>
                <c:pt idx="300">
                  <c:v>682.21699963949482</c:v>
                </c:pt>
                <c:pt idx="301">
                  <c:v>685.17742321519722</c:v>
                </c:pt>
                <c:pt idx="302">
                  <c:v>688.13774010228497</c:v>
                </c:pt>
                <c:pt idx="303">
                  <c:v>691.09779056391767</c:v>
                </c:pt>
                <c:pt idx="304">
                  <c:v>694.0574154527128</c:v>
                </c:pt>
                <c:pt idx="305">
                  <c:v>697.01645621183729</c:v>
                </c:pt>
                <c:pt idx="306">
                  <c:v>699.97475487595773</c:v>
                </c:pt>
                <c:pt idx="307">
                  <c:v>702.9321540720515</c:v>
                </c:pt>
                <c:pt idx="308">
                  <c:v>705.8884970200819</c:v>
                </c:pt>
                <c:pt idx="309">
                  <c:v>708.84362753353707</c:v>
                </c:pt>
                <c:pt idx="310">
                  <c:v>711.79739001983717</c:v>
                </c:pt>
                <c:pt idx="311">
                  <c:v>714.74962948060943</c:v>
                </c:pt>
                <c:pt idx="312">
                  <c:v>717.70019151183567</c:v>
                </c:pt>
                <c:pt idx="313">
                  <c:v>720.64892230387136</c:v>
                </c:pt>
                <c:pt idx="314">
                  <c:v>723.59566864134092</c:v>
                </c:pt>
                <c:pt idx="315">
                  <c:v>726.54027790290945</c:v>
                </c:pt>
                <c:pt idx="316">
                  <c:v>729.48259806093381</c:v>
                </c:pt>
                <c:pt idx="317">
                  <c:v>732.42247768099435</c:v>
                </c:pt>
                <c:pt idx="318">
                  <c:v>735.35976592130987</c:v>
                </c:pt>
                <c:pt idx="319">
                  <c:v>738.29431253203791</c:v>
                </c:pt>
                <c:pt idx="320">
                  <c:v>741.22596785446115</c:v>
                </c:pt>
                <c:pt idx="321">
                  <c:v>744.15459501406895</c:v>
                </c:pt>
                <c:pt idx="322">
                  <c:v>747.08008206564102</c:v>
                </c:pt>
                <c:pt idx="323">
                  <c:v>750.00232969730439</c:v>
                </c:pt>
                <c:pt idx="324">
                  <c:v>752.92123898225566</c:v>
                </c:pt>
                <c:pt idx="325">
                  <c:v>755.83671137720887</c:v>
                </c:pt>
                <c:pt idx="326">
                  <c:v>758.74864872080457</c:v>
                </c:pt>
                <c:pt idx="327">
                  <c:v>761.65695323198054</c:v>
                </c:pt>
                <c:pt idx="328">
                  <c:v>764.56152750830597</c:v>
                </c:pt>
                <c:pt idx="329">
                  <c:v>767.46227452427888</c:v>
                </c:pt>
                <c:pt idx="330">
                  <c:v>770.35909762958784</c:v>
                </c:pt>
                <c:pt idx="331">
                  <c:v>773.25190054733946</c:v>
                </c:pt>
                <c:pt idx="332">
                  <c:v>776.14058737225184</c:v>
                </c:pt>
                <c:pt idx="333">
                  <c:v>779.02506256881418</c:v>
                </c:pt>
                <c:pt idx="334">
                  <c:v>781.90523096941467</c:v>
                </c:pt>
                <c:pt idx="335">
                  <c:v>784.78099777243631</c:v>
                </c:pt>
                <c:pt idx="336">
                  <c:v>787.65226854032164</c:v>
                </c:pt>
                <c:pt idx="337">
                  <c:v>790.51894919760764</c:v>
                </c:pt>
                <c:pt idx="338">
                  <c:v>793.38094602893091</c:v>
                </c:pt>
                <c:pt idx="339">
                  <c:v>796.23816567700374</c:v>
                </c:pt>
                <c:pt idx="340">
                  <c:v>799.09051514056284</c:v>
                </c:pt>
                <c:pt idx="341">
                  <c:v>801.93790177228971</c:v>
                </c:pt>
                <c:pt idx="342">
                  <c:v>804.78023327670508</c:v>
                </c:pt>
                <c:pt idx="343">
                  <c:v>807.6174177080369</c:v>
                </c:pt>
                <c:pt idx="344">
                  <c:v>810.4493634680631</c:v>
                </c:pt>
                <c:pt idx="345">
                  <c:v>813.2759793039296</c:v>
                </c:pt>
                <c:pt idx="346">
                  <c:v>816.09717430594401</c:v>
                </c:pt>
                <c:pt idx="347">
                  <c:v>818.91285790534641</c:v>
                </c:pt>
                <c:pt idx="348">
                  <c:v>821.72294118822538</c:v>
                </c:pt>
                <c:pt idx="349">
                  <c:v>824.52733820371998</c:v>
                </c:pt>
                <c:pt idx="350">
                  <c:v>827.32596463408004</c:v>
                </c:pt>
                <c:pt idx="351">
                  <c:v>830.1187364704416</c:v>
                </c:pt>
                <c:pt idx="352">
                  <c:v>832.90557001058255</c:v>
                </c:pt>
                <c:pt idx="353">
                  <c:v>835.68638185666168</c:v>
                </c:pt>
                <c:pt idx="354">
                  <c:v>838.46108891294227</c:v>
                </c:pt>
                <c:pt idx="355">
                  <c:v>841.2296083835007</c:v>
                </c:pt>
                <c:pt idx="356">
                  <c:v>843.99185776992022</c:v>
                </c:pt>
                <c:pt idx="357">
                  <c:v>846.74775486897045</c:v>
                </c:pt>
                <c:pt idx="358">
                  <c:v>849.49721777027344</c:v>
                </c:pt>
                <c:pt idx="359">
                  <c:v>852.24016485395634</c:v>
                </c:pt>
                <c:pt idx="360">
                  <c:v>854.97654215868852</c:v>
                </c:pt>
                <c:pt idx="361">
                  <c:v>857.70635062848544</c:v>
                </c:pt>
                <c:pt idx="362">
                  <c:v>860.42961849976757</c:v>
                </c:pt>
                <c:pt idx="363">
                  <c:v>863.14637381175601</c:v>
                </c:pt>
                <c:pt idx="364">
                  <c:v>865.85664440831601</c:v>
                </c:pt>
                <c:pt idx="365">
                  <c:v>868.56045793977842</c:v>
                </c:pt>
                <c:pt idx="366">
                  <c:v>871.25784186474016</c:v>
                </c:pt>
                <c:pt idx="367">
                  <c:v>873.9488234518434</c:v>
                </c:pt>
                <c:pt idx="368">
                  <c:v>876.63342978153457</c:v>
                </c:pt>
                <c:pt idx="369">
                  <c:v>879.31168774780201</c:v>
                </c:pt>
                <c:pt idx="370">
                  <c:v>881.98362405989451</c:v>
                </c:pt>
                <c:pt idx="371">
                  <c:v>884.64926524401915</c:v>
                </c:pt>
                <c:pt idx="372">
                  <c:v>887.30863764501999</c:v>
                </c:pt>
                <c:pt idx="373">
                  <c:v>889.96176742803766</c:v>
                </c:pt>
                <c:pt idx="374">
                  <c:v>892.60868058014921</c:v>
                </c:pt>
                <c:pt idx="375">
                  <c:v>895.2494029119897</c:v>
                </c:pt>
                <c:pt idx="376">
                  <c:v>897.88396005935545</c:v>
                </c:pt>
                <c:pt idx="377">
                  <c:v>900.5123774847882</c:v>
                </c:pt>
                <c:pt idx="378">
                  <c:v>903.13468047914216</c:v>
                </c:pt>
                <c:pt idx="379">
                  <c:v>905.75089416313267</c:v>
                </c:pt>
                <c:pt idx="380">
                  <c:v>908.36104348886784</c:v>
                </c:pt>
                <c:pt idx="381">
                  <c:v>910.96515324136226</c:v>
                </c:pt>
                <c:pt idx="382">
                  <c:v>913.56324804003418</c:v>
                </c:pt>
                <c:pt idx="383">
                  <c:v>916.1553523401858</c:v>
                </c:pt>
                <c:pt idx="384">
                  <c:v>918.74149043446653</c:v>
                </c:pt>
                <c:pt idx="385">
                  <c:v>921.32168645432034</c:v>
                </c:pt>
                <c:pt idx="386">
                  <c:v>923.89596437141699</c:v>
                </c:pt>
                <c:pt idx="387">
                  <c:v>926.46434799906694</c:v>
                </c:pt>
                <c:pt idx="388">
                  <c:v>929.02686099362063</c:v>
                </c:pt>
                <c:pt idx="389">
                  <c:v>931.58352685585248</c:v>
                </c:pt>
                <c:pt idx="390">
                  <c:v>934.13436893232949</c:v>
                </c:pt>
                <c:pt idx="391">
                  <c:v>936.67941041676465</c:v>
                </c:pt>
                <c:pt idx="392">
                  <c:v>939.21867435135528</c:v>
                </c:pt>
                <c:pt idx="393">
                  <c:v>941.75218362810699</c:v>
                </c:pt>
                <c:pt idx="394">
                  <c:v>944.27996099014331</c:v>
                </c:pt>
                <c:pt idx="395">
                  <c:v>946.80202903300005</c:v>
                </c:pt>
                <c:pt idx="396">
                  <c:v>949.31841020590662</c:v>
                </c:pt>
                <c:pt idx="397">
                  <c:v>951.82912681305288</c:v>
                </c:pt>
                <c:pt idx="398">
                  <c:v>954.33420101484217</c:v>
                </c:pt>
                <c:pt idx="399">
                  <c:v>956.83365482913075</c:v>
                </c:pt>
                <c:pt idx="400">
                  <c:v>959.32751013245434</c:v>
                </c:pt>
                <c:pt idx="401">
                  <c:v>983.95982806633049</c:v>
                </c:pt>
                <c:pt idx="402">
                  <c:v>1008.0461850599833</c:v>
                </c:pt>
                <c:pt idx="403">
                  <c:v>1031.6071871818347</c:v>
                </c:pt>
                <c:pt idx="404">
                  <c:v>1054.6621739207383</c:v>
                </c:pt>
                <c:pt idx="405">
                  <c:v>1077.2293207328221</c:v>
                </c:pt>
                <c:pt idx="406">
                  <c:v>1099.3257313242746</c:v>
                </c:pt>
                <c:pt idx="407">
                  <c:v>1120.9675208855283</c:v>
                </c:pt>
                <c:pt idx="408">
                  <c:v>1142.1698913268979</c:v>
                </c:pt>
                <c:pt idx="409">
                  <c:v>1162.947199425651</c:v>
                </c:pt>
                <c:pt idx="410">
                  <c:v>1183.3130186754493</c:v>
                </c:pt>
                <c:pt idx="411">
                  <c:v>1203.2801955275715</c:v>
                </c:pt>
                <c:pt idx="412">
                  <c:v>1222.8609006264969</c:v>
                </c:pt>
                <c:pt idx="413">
                  <c:v>1242.0666755678985</c:v>
                </c:pt>
                <c:pt idx="414">
                  <c:v>1260.9084756429668</c:v>
                </c:pt>
                <c:pt idx="415">
                  <c:v>1279.3967089776197</c:v>
                </c:pt>
                <c:pt idx="416">
                  <c:v>1297.5412724272512</c:v>
                </c:pt>
                <c:pt idx="417">
                  <c:v>1315.351584546094</c:v>
                </c:pt>
                <c:pt idx="418">
                  <c:v>1332.8366159141028</c:v>
                </c:pt>
                <c:pt idx="419">
                  <c:v>1350.0049170727225</c:v>
                </c:pt>
                <c:pt idx="420">
                  <c:v>1366.8646442933325</c:v>
                </c:pt>
                <c:pt idx="421">
                  <c:v>1383.4235833779983</c:v>
                </c:pt>
                <c:pt idx="422">
                  <c:v>1399.6891716709438</c:v>
                </c:pt>
                <c:pt idx="423">
                  <c:v>1415.6685184404942</c:v>
                </c:pt>
                <c:pt idx="424">
                  <c:v>1431.3684237747725</c:v>
                </c:pt>
                <c:pt idx="425">
                  <c:v>1446.7953961198873</c:v>
                </c:pt>
                <c:pt idx="426">
                  <c:v>1461.9556685764751</c:v>
                </c:pt>
                <c:pt idx="427">
                  <c:v>1476.855214059035</c:v>
                </c:pt>
                <c:pt idx="428">
                  <c:v>1491.4997594123483</c:v>
                </c:pt>
                <c:pt idx="429">
                  <c:v>1505.8947985702378</c:v>
                </c:pt>
                <c:pt idx="430">
                  <c:v>1520.0456048338697</c:v>
                </c:pt>
                <c:pt idx="431">
                  <c:v>1533.9572423396069</c:v>
                </c:pt>
                <c:pt idx="432">
                  <c:v>1547.6345767799812</c:v>
                </c:pt>
                <c:pt idx="433">
                  <c:v>1561.0822854355936</c:v>
                </c:pt>
                <c:pt idx="434">
                  <c:v>1574.3048665705676</c:v>
                </c:pt>
                <c:pt idx="435">
                  <c:v>1587.3066482395388</c:v>
                </c:pt>
                <c:pt idx="436">
                  <c:v>1600.0917965499723</c:v>
                </c:pt>
                <c:pt idx="437">
                  <c:v>1612.6643234198289</c:v>
                </c:pt>
                <c:pt idx="438">
                  <c:v>1625.0280938672004</c:v>
                </c:pt>
                <c:pt idx="439">
                  <c:v>1637.1868328654512</c:v>
                </c:pt>
                <c:pt idx="440">
                  <c:v>1649.1441317946246</c:v>
                </c:pt>
                <c:pt idx="441">
                  <c:v>1660.9034545173502</c:v>
                </c:pt>
                <c:pt idx="442">
                  <c:v>1672.4681431051963</c:v>
                </c:pt>
                <c:pt idx="443">
                  <c:v>1683.8414232393395</c:v>
                </c:pt>
                <c:pt idx="444">
                  <c:v>1695.0264093075298</c:v>
                </c:pt>
                <c:pt idx="445">
                  <c:v>1706.0261092176106</c:v>
                </c:pt>
                <c:pt idx="446">
                  <c:v>1716.8434289462873</c:v>
                </c:pt>
                <c:pt idx="447">
                  <c:v>1727.481176840407</c:v>
                </c:pt>
                <c:pt idx="448">
                  <c:v>1737.9420676867044</c:v>
                </c:pt>
                <c:pt idx="449">
                  <c:v>1748.2287265647778</c:v>
                </c:pt>
                <c:pt idx="450">
                  <c:v>1758.3436924969649</c:v>
                </c:pt>
                <c:pt idx="451">
                  <c:v>1768.289421907785</c:v>
                </c:pt>
                <c:pt idx="452">
                  <c:v>1778.0682919047022</c:v>
                </c:pt>
                <c:pt idx="453">
                  <c:v>1787.6826033911148</c:v>
                </c:pt>
                <c:pt idx="454">
                  <c:v>1797.1345840217057</c:v>
                </c:pt>
                <c:pt idx="455">
                  <c:v>1806.4263910095788</c:v>
                </c:pt>
                <c:pt idx="456">
                  <c:v>1815.560113793945</c:v>
                </c:pt>
                <c:pt idx="457">
                  <c:v>1824.5377765765263</c:v>
                </c:pt>
                <c:pt idx="458">
                  <c:v>1833.3613407342839</c:v>
                </c:pt>
                <c:pt idx="459">
                  <c:v>1842.0327071155643</c:v>
                </c:pt>
                <c:pt idx="460">
                  <c:v>1850.5537182262879</c:v>
                </c:pt>
                <c:pt idx="461">
                  <c:v>1858.9261603123596</c:v>
                </c:pt>
                <c:pt idx="462">
                  <c:v>1867.1517653440819</c:v>
                </c:pt>
                <c:pt idx="463">
                  <c:v>1875.2322129079728</c:v>
                </c:pt>
                <c:pt idx="464">
                  <c:v>1883.1691320110449</c:v>
                </c:pt>
                <c:pt idx="465">
                  <c:v>1890.9641028022809</c:v>
                </c:pt>
                <c:pt idx="466">
                  <c:v>1898.61865821574</c:v>
                </c:pt>
                <c:pt idx="467">
                  <c:v>1906.134285539455</c:v>
                </c:pt>
                <c:pt idx="468">
                  <c:v>1913.5124279140234</c:v>
                </c:pt>
                <c:pt idx="469">
                  <c:v>1920.7544857645526</c:v>
                </c:pt>
                <c:pt idx="470">
                  <c:v>1927.8618181694021</c:v>
                </c:pt>
                <c:pt idx="471">
                  <c:v>1934.8357441689566</c:v>
                </c:pt>
                <c:pt idx="472">
                  <c:v>1941.6775440174697</c:v>
                </c:pt>
                <c:pt idx="473">
                  <c:v>1948.3884603808444</c:v>
                </c:pt>
                <c:pt idx="474">
                  <c:v>1954.9696994830424</c:v>
                </c:pt>
                <c:pt idx="475">
                  <c:v>1961.4224322036653</c:v>
                </c:pt>
                <c:pt idx="476">
                  <c:v>1967.747795129101</c:v>
                </c:pt>
                <c:pt idx="477">
                  <c:v>1973.9468915594985</c:v>
                </c:pt>
                <c:pt idx="478">
                  <c:v>1980.0207924737019</c:v>
                </c:pt>
                <c:pt idx="479">
                  <c:v>1985.9705374541638</c:v>
                </c:pt>
                <c:pt idx="480">
                  <c:v>1991.7971355737438</c:v>
                </c:pt>
                <c:pt idx="481">
                  <c:v>1997.5015662461981</c:v>
                </c:pt>
                <c:pt idx="482">
                  <c:v>2003.0847800420711</c:v>
                </c:pt>
                <c:pt idx="483">
                  <c:v>2008.5476994716109</c:v>
                </c:pt>
                <c:pt idx="484">
                  <c:v>2013.8912197362474</c:v>
                </c:pt>
                <c:pt idx="485">
                  <c:v>2019.116209450098</c:v>
                </c:pt>
                <c:pt idx="486">
                  <c:v>2024.2235113328923</c:v>
                </c:pt>
                <c:pt idx="487">
                  <c:v>2029.2139428756429</c:v>
                </c:pt>
                <c:pt idx="488">
                  <c:v>2034.0882969803306</c:v>
                </c:pt>
                <c:pt idx="489">
                  <c:v>2038.8473425748114</c:v>
                </c:pt>
                <c:pt idx="490">
                  <c:v>2043.4918252041105</c:v>
                </c:pt>
                <c:pt idx="491">
                  <c:v>2048.0224675992131</c:v>
                </c:pt>
                <c:pt idx="492">
                  <c:v>2052.43997022443</c:v>
                </c:pt>
                <c:pt idx="493">
                  <c:v>2056.745011804368</c:v>
                </c:pt>
                <c:pt idx="494">
                  <c:v>2060.9382498315153</c:v>
                </c:pt>
                <c:pt idx="495">
                  <c:v>2065.0203210554164</c:v>
                </c:pt>
                <c:pt idx="496">
                  <c:v>2068.9918419543851</c:v>
                </c:pt>
                <c:pt idx="497">
                  <c:v>2072.8534091907018</c:v>
                </c:pt>
                <c:pt idx="498">
                  <c:v>2076.6056000502076</c:v>
                </c:pt>
                <c:pt idx="499">
                  <c:v>2080.2489728672176</c:v>
                </c:pt>
                <c:pt idx="500">
                  <c:v>2083.7840674356667</c:v>
                </c:pt>
                <c:pt idx="501">
                  <c:v>2087.2114054074027</c:v>
                </c:pt>
                <c:pt idx="502">
                  <c:v>2090.5314906785634</c:v>
                </c:pt>
                <c:pt idx="503">
                  <c:v>2093.7448097649776</c:v>
                </c:pt>
                <c:pt idx="504">
                  <c:v>2096.8518321675706</c:v>
                </c:pt>
                <c:pt idx="505">
                  <c:v>2099.8530107287779</c:v>
                </c:pt>
                <c:pt idx="506">
                  <c:v>2102.7487819810194</c:v>
                </c:pt>
                <c:pt idx="507">
                  <c:v>2105.5395664883395</c:v>
                </c:pt>
                <c:pt idx="508">
                  <c:v>2108.2257691823761</c:v>
                </c:pt>
                <c:pt idx="509">
                  <c:v>2110.807779693906</c:v>
                </c:pt>
                <c:pt idx="510">
                  <c:v>2113.2859726812926</c:v>
                </c:pt>
                <c:pt idx="511">
                  <c:v>2115.6607081572611</c:v>
                </c:pt>
                <c:pt idx="512">
                  <c:v>2117.932331815548</c:v>
                </c:pt>
                <c:pt idx="513">
                  <c:v>2120.1011753590815</c:v>
                </c:pt>
                <c:pt idx="514">
                  <c:v>2122.1675568315004</c:v>
                </c:pt>
                <c:pt idx="515">
                  <c:v>2124.1317809539551</c:v>
                </c:pt>
                <c:pt idx="516">
                  <c:v>2125.9941394693001</c:v>
                </c:pt>
                <c:pt idx="517">
                  <c:v>2127.7549114959402</c:v>
                </c:pt>
                <c:pt idx="518">
                  <c:v>2129.4143638937599</c:v>
                </c:pt>
                <c:pt idx="519">
                  <c:v>2130.9727516447097</c:v>
                </c:pt>
                <c:pt idx="520">
                  <c:v>2132.4303182507697</c:v>
                </c:pt>
                <c:pt idx="521">
                  <c:v>2133.7872961521034</c:v>
                </c:pt>
                <c:pt idx="522">
                  <c:v>2135.0439071682822</c:v>
                </c:pt>
                <c:pt idx="523">
                  <c:v>2136.200362965456</c:v>
                </c:pt>
                <c:pt idx="524">
                  <c:v>2137.2568655522532</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4.0999999999999996</c:v>
                </c:pt>
              </c:numCache>
            </c:numRef>
          </c:xVal>
          <c:yVal>
            <c:numRef>
              <c:f>Trajecto!$C$158</c:f>
              <c:numCache>
                <c:formatCode>0</c:formatCode>
                <c:ptCount val="1"/>
                <c:pt idx="0">
                  <c:v>1068.6284327761266</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30.650000000000123</c:v>
                </c:pt>
              </c:numCache>
            </c:numRef>
          </c:xVal>
          <c:yVal>
            <c:numRef>
              <c:f>Trajecto!$C$159</c:f>
              <c:numCache>
                <c:formatCode>0</c:formatCode>
                <c:ptCount val="1"/>
                <c:pt idx="0">
                  <c:v>1071.1815809638558</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35.900000000000198</c:v>
                </c:pt>
                <c:pt idx="720">
                  <c:v>36.000000000000199</c:v>
                </c:pt>
                <c:pt idx="721">
                  <c:v>36.1000000000002</c:v>
                </c:pt>
                <c:pt idx="722">
                  <c:v>36.200000000000202</c:v>
                </c:pt>
                <c:pt idx="723">
                  <c:v>36.300000000000203</c:v>
                </c:pt>
                <c:pt idx="724">
                  <c:v>36.400000000000205</c:v>
                </c:pt>
                <c:pt idx="725">
                  <c:v>36.500000000000206</c:v>
                </c:pt>
                <c:pt idx="726">
                  <c:v>36.600000000000207</c:v>
                </c:pt>
                <c:pt idx="727">
                  <c:v>36.700000000000209</c:v>
                </c:pt>
                <c:pt idx="728">
                  <c:v>36.80000000000021</c:v>
                </c:pt>
                <c:pt idx="729">
                  <c:v>36.900000000000212</c:v>
                </c:pt>
                <c:pt idx="730">
                  <c:v>37.000000000000213</c:v>
                </c:pt>
                <c:pt idx="731">
                  <c:v>37.100000000000215</c:v>
                </c:pt>
                <c:pt idx="732">
                  <c:v>37.200000000000216</c:v>
                </c:pt>
                <c:pt idx="733">
                  <c:v>37.300000000000217</c:v>
                </c:pt>
                <c:pt idx="734">
                  <c:v>37.400000000000219</c:v>
                </c:pt>
                <c:pt idx="735">
                  <c:v>37.50000000000022</c:v>
                </c:pt>
                <c:pt idx="736">
                  <c:v>37.600000000000222</c:v>
                </c:pt>
                <c:pt idx="737">
                  <c:v>37.700000000000223</c:v>
                </c:pt>
                <c:pt idx="738">
                  <c:v>37.800000000000225</c:v>
                </c:pt>
                <c:pt idx="739">
                  <c:v>37.900000000000226</c:v>
                </c:pt>
                <c:pt idx="740">
                  <c:v>38.000000000000227</c:v>
                </c:pt>
                <c:pt idx="741">
                  <c:v>38.100000000000229</c:v>
                </c:pt>
                <c:pt idx="742">
                  <c:v>38.20000000000023</c:v>
                </c:pt>
                <c:pt idx="743">
                  <c:v>38.300000000000232</c:v>
                </c:pt>
                <c:pt idx="744">
                  <c:v>38.400000000000233</c:v>
                </c:pt>
                <c:pt idx="745">
                  <c:v>38.500000000000234</c:v>
                </c:pt>
                <c:pt idx="746">
                  <c:v>38.600000000000236</c:v>
                </c:pt>
                <c:pt idx="747">
                  <c:v>38.700000000000237</c:v>
                </c:pt>
                <c:pt idx="748">
                  <c:v>38.800000000000239</c:v>
                </c:pt>
                <c:pt idx="749">
                  <c:v>38.90000000000024</c:v>
                </c:pt>
                <c:pt idx="750">
                  <c:v>39.000000000000242</c:v>
                </c:pt>
                <c:pt idx="751">
                  <c:v>39.100000000000243</c:v>
                </c:pt>
                <c:pt idx="752">
                  <c:v>39.200000000000244</c:v>
                </c:pt>
                <c:pt idx="753">
                  <c:v>39.300000000000246</c:v>
                </c:pt>
                <c:pt idx="754">
                  <c:v>39.400000000000247</c:v>
                </c:pt>
                <c:pt idx="755">
                  <c:v>39.500000000000249</c:v>
                </c:pt>
                <c:pt idx="756">
                  <c:v>39.60000000000025</c:v>
                </c:pt>
                <c:pt idx="757">
                  <c:v>39.700000000000252</c:v>
                </c:pt>
                <c:pt idx="758">
                  <c:v>39.800000000000253</c:v>
                </c:pt>
                <c:pt idx="759">
                  <c:v>39.900000000000254</c:v>
                </c:pt>
                <c:pt idx="760">
                  <c:v>40.000000000000256</c:v>
                </c:pt>
                <c:pt idx="761">
                  <c:v>40.100000000000257</c:v>
                </c:pt>
                <c:pt idx="762">
                  <c:v>40.200000000000259</c:v>
                </c:pt>
                <c:pt idx="763">
                  <c:v>40.30000000000026</c:v>
                </c:pt>
                <c:pt idx="764">
                  <c:v>40.400000000000261</c:v>
                </c:pt>
                <c:pt idx="765">
                  <c:v>40.500000000000263</c:v>
                </c:pt>
                <c:pt idx="766">
                  <c:v>40.600000000000264</c:v>
                </c:pt>
                <c:pt idx="767">
                  <c:v>40.700000000000266</c:v>
                </c:pt>
                <c:pt idx="768">
                  <c:v>40.800000000000267</c:v>
                </c:pt>
                <c:pt idx="769">
                  <c:v>40.900000000000269</c:v>
                </c:pt>
                <c:pt idx="770">
                  <c:v>41.00000000000027</c:v>
                </c:pt>
                <c:pt idx="771">
                  <c:v>41.100000000000271</c:v>
                </c:pt>
                <c:pt idx="772">
                  <c:v>41.200000000000273</c:v>
                </c:pt>
                <c:pt idx="773">
                  <c:v>41.300000000000274</c:v>
                </c:pt>
                <c:pt idx="774">
                  <c:v>41.400000000000276</c:v>
                </c:pt>
                <c:pt idx="775">
                  <c:v>41.500000000000277</c:v>
                </c:pt>
                <c:pt idx="776">
                  <c:v>41.600000000000279</c:v>
                </c:pt>
                <c:pt idx="777">
                  <c:v>41.70000000000028</c:v>
                </c:pt>
                <c:pt idx="778">
                  <c:v>41.800000000000281</c:v>
                </c:pt>
                <c:pt idx="779">
                  <c:v>41.900000000000283</c:v>
                </c:pt>
                <c:pt idx="780">
                  <c:v>42.000000000000284</c:v>
                </c:pt>
                <c:pt idx="781">
                  <c:v>42.100000000000286</c:v>
                </c:pt>
                <c:pt idx="782">
                  <c:v>42.200000000000287</c:v>
                </c:pt>
                <c:pt idx="783">
                  <c:v>42.300000000000288</c:v>
                </c:pt>
                <c:pt idx="784">
                  <c:v>42.40000000000029</c:v>
                </c:pt>
                <c:pt idx="785">
                  <c:v>42.500000000000291</c:v>
                </c:pt>
                <c:pt idx="786">
                  <c:v>42.600000000000293</c:v>
                </c:pt>
                <c:pt idx="787">
                  <c:v>42.700000000000294</c:v>
                </c:pt>
                <c:pt idx="788">
                  <c:v>42.800000000000296</c:v>
                </c:pt>
                <c:pt idx="789">
                  <c:v>42.900000000000297</c:v>
                </c:pt>
                <c:pt idx="790">
                  <c:v>43.000000000000298</c:v>
                </c:pt>
                <c:pt idx="791">
                  <c:v>43.1000000000003</c:v>
                </c:pt>
                <c:pt idx="792">
                  <c:v>43.200000000000301</c:v>
                </c:pt>
                <c:pt idx="793">
                  <c:v>43.300000000000303</c:v>
                </c:pt>
                <c:pt idx="794">
                  <c:v>43.400000000000304</c:v>
                </c:pt>
                <c:pt idx="795">
                  <c:v>43.500000000000306</c:v>
                </c:pt>
                <c:pt idx="796">
                  <c:v>43.600000000000307</c:v>
                </c:pt>
                <c:pt idx="797">
                  <c:v>43.700000000000308</c:v>
                </c:pt>
                <c:pt idx="798">
                  <c:v>43.80000000000031</c:v>
                </c:pt>
                <c:pt idx="799">
                  <c:v>43.900000000000311</c:v>
                </c:pt>
                <c:pt idx="800">
                  <c:v>43.900100000000315</c:v>
                </c:pt>
                <c:pt idx="801">
                  <c:v>43.900200000000318</c:v>
                </c:pt>
                <c:pt idx="802">
                  <c:v>43.900300000000321</c:v>
                </c:pt>
                <c:pt idx="803">
                  <c:v>43.900400000000324</c:v>
                </c:pt>
                <c:pt idx="804">
                  <c:v>43.900500000000328</c:v>
                </c:pt>
                <c:pt idx="805">
                  <c:v>43.900600000000331</c:v>
                </c:pt>
                <c:pt idx="806">
                  <c:v>43.900700000000334</c:v>
                </c:pt>
                <c:pt idx="807">
                  <c:v>43.900800000000338</c:v>
                </c:pt>
                <c:pt idx="808">
                  <c:v>43.900900000000341</c:v>
                </c:pt>
                <c:pt idx="809">
                  <c:v>43.901000000000344</c:v>
                </c:pt>
                <c:pt idx="810">
                  <c:v>43.901100000000348</c:v>
                </c:pt>
                <c:pt idx="811">
                  <c:v>43.901200000000351</c:v>
                </c:pt>
                <c:pt idx="812">
                  <c:v>43.901300000000354</c:v>
                </c:pt>
                <c:pt idx="813">
                  <c:v>43.901400000000358</c:v>
                </c:pt>
                <c:pt idx="814">
                  <c:v>43.901500000000361</c:v>
                </c:pt>
                <c:pt idx="815">
                  <c:v>43.901600000000364</c:v>
                </c:pt>
                <c:pt idx="816">
                  <c:v>43.901700000000368</c:v>
                </c:pt>
                <c:pt idx="817">
                  <c:v>43.901800000000371</c:v>
                </c:pt>
                <c:pt idx="818">
                  <c:v>43.901900000000374</c:v>
                </c:pt>
                <c:pt idx="819">
                  <c:v>43.902000000000378</c:v>
                </c:pt>
                <c:pt idx="820">
                  <c:v>43.902100000000381</c:v>
                </c:pt>
                <c:pt idx="821">
                  <c:v>43.902200000000384</c:v>
                </c:pt>
                <c:pt idx="822">
                  <c:v>43.902300000000388</c:v>
                </c:pt>
                <c:pt idx="823">
                  <c:v>43.902400000000391</c:v>
                </c:pt>
                <c:pt idx="824">
                  <c:v>43.902500000000394</c:v>
                </c:pt>
                <c:pt idx="825">
                  <c:v>43.902600000000398</c:v>
                </c:pt>
                <c:pt idx="826">
                  <c:v>43.902700000000401</c:v>
                </c:pt>
                <c:pt idx="827">
                  <c:v>43.902800000000404</c:v>
                </c:pt>
                <c:pt idx="828">
                  <c:v>43.902900000000407</c:v>
                </c:pt>
                <c:pt idx="829">
                  <c:v>43.903000000000411</c:v>
                </c:pt>
                <c:pt idx="830">
                  <c:v>43.903100000000414</c:v>
                </c:pt>
                <c:pt idx="831">
                  <c:v>43.903200000000417</c:v>
                </c:pt>
                <c:pt idx="832">
                  <c:v>43.903300000000421</c:v>
                </c:pt>
                <c:pt idx="833">
                  <c:v>43.903400000000424</c:v>
                </c:pt>
                <c:pt idx="834">
                  <c:v>43.903500000000427</c:v>
                </c:pt>
                <c:pt idx="835">
                  <c:v>43.903600000000431</c:v>
                </c:pt>
                <c:pt idx="836">
                  <c:v>43.903700000000434</c:v>
                </c:pt>
                <c:pt idx="837">
                  <c:v>43.903800000000437</c:v>
                </c:pt>
                <c:pt idx="838">
                  <c:v>43.903900000000441</c:v>
                </c:pt>
                <c:pt idx="839">
                  <c:v>43.904000000000444</c:v>
                </c:pt>
                <c:pt idx="840">
                  <c:v>43.904100000000447</c:v>
                </c:pt>
                <c:pt idx="841">
                  <c:v>43.904200000000451</c:v>
                </c:pt>
                <c:pt idx="842">
                  <c:v>43.904300000000454</c:v>
                </c:pt>
                <c:pt idx="843">
                  <c:v>43.904400000000457</c:v>
                </c:pt>
                <c:pt idx="844">
                  <c:v>43.904500000000461</c:v>
                </c:pt>
                <c:pt idx="845">
                  <c:v>43.904600000000464</c:v>
                </c:pt>
                <c:pt idx="846">
                  <c:v>43.904700000000467</c:v>
                </c:pt>
                <c:pt idx="847">
                  <c:v>43.904800000000471</c:v>
                </c:pt>
                <c:pt idx="848">
                  <c:v>43.904900000000474</c:v>
                </c:pt>
                <c:pt idx="849">
                  <c:v>43.905000000000477</c:v>
                </c:pt>
                <c:pt idx="850">
                  <c:v>43.905100000000481</c:v>
                </c:pt>
                <c:pt idx="851">
                  <c:v>43.905200000000484</c:v>
                </c:pt>
                <c:pt idx="852">
                  <c:v>43.905300000000487</c:v>
                </c:pt>
                <c:pt idx="853">
                  <c:v>43.90540000000049</c:v>
                </c:pt>
                <c:pt idx="854">
                  <c:v>43.905500000000494</c:v>
                </c:pt>
                <c:pt idx="855">
                  <c:v>43.905600000000497</c:v>
                </c:pt>
                <c:pt idx="856">
                  <c:v>43.9057000000005</c:v>
                </c:pt>
                <c:pt idx="857">
                  <c:v>43.905800000000504</c:v>
                </c:pt>
                <c:pt idx="858">
                  <c:v>43.905900000000507</c:v>
                </c:pt>
                <c:pt idx="859">
                  <c:v>43.90600000000051</c:v>
                </c:pt>
                <c:pt idx="860">
                  <c:v>43.906100000000514</c:v>
                </c:pt>
                <c:pt idx="861">
                  <c:v>43.906200000000517</c:v>
                </c:pt>
                <c:pt idx="862">
                  <c:v>43.90630000000052</c:v>
                </c:pt>
                <c:pt idx="863">
                  <c:v>43.906400000000524</c:v>
                </c:pt>
                <c:pt idx="864">
                  <c:v>43.906500000000527</c:v>
                </c:pt>
                <c:pt idx="865">
                  <c:v>43.90660000000053</c:v>
                </c:pt>
                <c:pt idx="866">
                  <c:v>43.906700000000534</c:v>
                </c:pt>
                <c:pt idx="867">
                  <c:v>43.906800000000537</c:v>
                </c:pt>
                <c:pt idx="868">
                  <c:v>43.90690000000054</c:v>
                </c:pt>
                <c:pt idx="869">
                  <c:v>43.907000000000544</c:v>
                </c:pt>
                <c:pt idx="870">
                  <c:v>43.907100000000547</c:v>
                </c:pt>
                <c:pt idx="871">
                  <c:v>43.90720000000055</c:v>
                </c:pt>
                <c:pt idx="872">
                  <c:v>43.907300000000554</c:v>
                </c:pt>
                <c:pt idx="873">
                  <c:v>43.907400000000557</c:v>
                </c:pt>
                <c:pt idx="874">
                  <c:v>43.90750000000056</c:v>
                </c:pt>
                <c:pt idx="875">
                  <c:v>43.907600000000564</c:v>
                </c:pt>
                <c:pt idx="876">
                  <c:v>43.907700000000567</c:v>
                </c:pt>
                <c:pt idx="877">
                  <c:v>43.90780000000057</c:v>
                </c:pt>
                <c:pt idx="878">
                  <c:v>43.907900000000573</c:v>
                </c:pt>
                <c:pt idx="879">
                  <c:v>43.908000000000577</c:v>
                </c:pt>
                <c:pt idx="880">
                  <c:v>43.90810000000058</c:v>
                </c:pt>
                <c:pt idx="881">
                  <c:v>43.908200000000583</c:v>
                </c:pt>
                <c:pt idx="882">
                  <c:v>43.908300000000587</c:v>
                </c:pt>
                <c:pt idx="883">
                  <c:v>43.90840000000059</c:v>
                </c:pt>
                <c:pt idx="884">
                  <c:v>43.908500000000593</c:v>
                </c:pt>
                <c:pt idx="885">
                  <c:v>43.908600000000597</c:v>
                </c:pt>
                <c:pt idx="886">
                  <c:v>43.9087000000006</c:v>
                </c:pt>
                <c:pt idx="887">
                  <c:v>43.908800000000603</c:v>
                </c:pt>
                <c:pt idx="888">
                  <c:v>43.908900000000607</c:v>
                </c:pt>
                <c:pt idx="889">
                  <c:v>43.90900000000061</c:v>
                </c:pt>
                <c:pt idx="890">
                  <c:v>43.909100000000613</c:v>
                </c:pt>
                <c:pt idx="891">
                  <c:v>43.909200000000617</c:v>
                </c:pt>
                <c:pt idx="892">
                  <c:v>43.90930000000062</c:v>
                </c:pt>
                <c:pt idx="893">
                  <c:v>43.909400000000623</c:v>
                </c:pt>
                <c:pt idx="894">
                  <c:v>43.909500000000627</c:v>
                </c:pt>
                <c:pt idx="895">
                  <c:v>43.90960000000063</c:v>
                </c:pt>
                <c:pt idx="896">
                  <c:v>43.909700000000633</c:v>
                </c:pt>
                <c:pt idx="897">
                  <c:v>43.909800000000637</c:v>
                </c:pt>
                <c:pt idx="898">
                  <c:v>43.90990000000064</c:v>
                </c:pt>
                <c:pt idx="899">
                  <c:v>43.910000000000643</c:v>
                </c:pt>
                <c:pt idx="900">
                  <c:v>43.910100000000647</c:v>
                </c:pt>
                <c:pt idx="901">
                  <c:v>43.91020000000065</c:v>
                </c:pt>
                <c:pt idx="902">
                  <c:v>43.910300000000653</c:v>
                </c:pt>
                <c:pt idx="903">
                  <c:v>43.910400000000656</c:v>
                </c:pt>
                <c:pt idx="904">
                  <c:v>43.91050000000066</c:v>
                </c:pt>
                <c:pt idx="905">
                  <c:v>43.910600000000663</c:v>
                </c:pt>
                <c:pt idx="906">
                  <c:v>43.910700000000666</c:v>
                </c:pt>
                <c:pt idx="907">
                  <c:v>43.91080000000067</c:v>
                </c:pt>
                <c:pt idx="908">
                  <c:v>43.910900000000673</c:v>
                </c:pt>
                <c:pt idx="909">
                  <c:v>43.911000000000676</c:v>
                </c:pt>
                <c:pt idx="910">
                  <c:v>43.91110000000068</c:v>
                </c:pt>
                <c:pt idx="911">
                  <c:v>43.911200000000683</c:v>
                </c:pt>
                <c:pt idx="912">
                  <c:v>43.911300000000686</c:v>
                </c:pt>
                <c:pt idx="913">
                  <c:v>43.91140000000069</c:v>
                </c:pt>
                <c:pt idx="914">
                  <c:v>43.911500000000693</c:v>
                </c:pt>
                <c:pt idx="915">
                  <c:v>43.911600000000696</c:v>
                </c:pt>
                <c:pt idx="916">
                  <c:v>43.9117000000007</c:v>
                </c:pt>
                <c:pt idx="917">
                  <c:v>43.911800000000703</c:v>
                </c:pt>
                <c:pt idx="918">
                  <c:v>43.911900000000706</c:v>
                </c:pt>
                <c:pt idx="919">
                  <c:v>43.91200000000071</c:v>
                </c:pt>
                <c:pt idx="920">
                  <c:v>43.912100000000713</c:v>
                </c:pt>
                <c:pt idx="921">
                  <c:v>43.912200000000716</c:v>
                </c:pt>
                <c:pt idx="922">
                  <c:v>43.91230000000072</c:v>
                </c:pt>
                <c:pt idx="923">
                  <c:v>43.912400000000723</c:v>
                </c:pt>
                <c:pt idx="924">
                  <c:v>43.912500000000726</c:v>
                </c:pt>
                <c:pt idx="925">
                  <c:v>43.912600000000729</c:v>
                </c:pt>
                <c:pt idx="926">
                  <c:v>43.912700000000733</c:v>
                </c:pt>
                <c:pt idx="927">
                  <c:v>43.912800000000736</c:v>
                </c:pt>
                <c:pt idx="928">
                  <c:v>43.912900000000739</c:v>
                </c:pt>
                <c:pt idx="929">
                  <c:v>43.913000000000743</c:v>
                </c:pt>
                <c:pt idx="930">
                  <c:v>43.913100000000746</c:v>
                </c:pt>
                <c:pt idx="931">
                  <c:v>43.913200000000749</c:v>
                </c:pt>
                <c:pt idx="932">
                  <c:v>43.913300000000753</c:v>
                </c:pt>
                <c:pt idx="933">
                  <c:v>43.913400000000756</c:v>
                </c:pt>
                <c:pt idx="934">
                  <c:v>43.913500000000759</c:v>
                </c:pt>
                <c:pt idx="935">
                  <c:v>43.913600000000763</c:v>
                </c:pt>
                <c:pt idx="936">
                  <c:v>43.913700000000766</c:v>
                </c:pt>
                <c:pt idx="937">
                  <c:v>43.913800000000769</c:v>
                </c:pt>
                <c:pt idx="938">
                  <c:v>43.913900000000773</c:v>
                </c:pt>
                <c:pt idx="939">
                  <c:v>43.914000000000776</c:v>
                </c:pt>
                <c:pt idx="940">
                  <c:v>43.914100000000779</c:v>
                </c:pt>
                <c:pt idx="941">
                  <c:v>43.914200000000783</c:v>
                </c:pt>
                <c:pt idx="942">
                  <c:v>43.914300000000786</c:v>
                </c:pt>
                <c:pt idx="943">
                  <c:v>43.914400000000789</c:v>
                </c:pt>
                <c:pt idx="944">
                  <c:v>43.914500000000793</c:v>
                </c:pt>
                <c:pt idx="945">
                  <c:v>43.914600000000796</c:v>
                </c:pt>
                <c:pt idx="946">
                  <c:v>43.914700000000799</c:v>
                </c:pt>
                <c:pt idx="947">
                  <c:v>43.914800000000803</c:v>
                </c:pt>
                <c:pt idx="948">
                  <c:v>43.914900000000806</c:v>
                </c:pt>
                <c:pt idx="949">
                  <c:v>43.915000000000809</c:v>
                </c:pt>
                <c:pt idx="950">
                  <c:v>43.915100000000812</c:v>
                </c:pt>
                <c:pt idx="951">
                  <c:v>43.915200000000816</c:v>
                </c:pt>
                <c:pt idx="952">
                  <c:v>43.915300000000819</c:v>
                </c:pt>
                <c:pt idx="953">
                  <c:v>43.915400000000822</c:v>
                </c:pt>
                <c:pt idx="954">
                  <c:v>43.915500000000826</c:v>
                </c:pt>
                <c:pt idx="955">
                  <c:v>43.915600000000829</c:v>
                </c:pt>
                <c:pt idx="956">
                  <c:v>43.915700000000832</c:v>
                </c:pt>
                <c:pt idx="957">
                  <c:v>43.915800000000836</c:v>
                </c:pt>
                <c:pt idx="958">
                  <c:v>43.915900000000839</c:v>
                </c:pt>
                <c:pt idx="959">
                  <c:v>43.916000000000842</c:v>
                </c:pt>
                <c:pt idx="960">
                  <c:v>43.916100000000846</c:v>
                </c:pt>
                <c:pt idx="961">
                  <c:v>43.916200000000849</c:v>
                </c:pt>
                <c:pt idx="962">
                  <c:v>43.916300000000852</c:v>
                </c:pt>
                <c:pt idx="963">
                  <c:v>43.916400000000856</c:v>
                </c:pt>
                <c:pt idx="964">
                  <c:v>43.916500000000859</c:v>
                </c:pt>
                <c:pt idx="965">
                  <c:v>43.916600000000862</c:v>
                </c:pt>
                <c:pt idx="966">
                  <c:v>43.916700000000866</c:v>
                </c:pt>
                <c:pt idx="967">
                  <c:v>43.916800000000869</c:v>
                </c:pt>
                <c:pt idx="968">
                  <c:v>43.916900000000872</c:v>
                </c:pt>
                <c:pt idx="969">
                  <c:v>43.917000000000876</c:v>
                </c:pt>
                <c:pt idx="970">
                  <c:v>43.917100000000879</c:v>
                </c:pt>
                <c:pt idx="971">
                  <c:v>43.917200000000882</c:v>
                </c:pt>
                <c:pt idx="972">
                  <c:v>43.917300000000886</c:v>
                </c:pt>
                <c:pt idx="973">
                  <c:v>43.917400000000889</c:v>
                </c:pt>
                <c:pt idx="974">
                  <c:v>43.917500000000892</c:v>
                </c:pt>
                <c:pt idx="975">
                  <c:v>43.917600000000895</c:v>
                </c:pt>
                <c:pt idx="976">
                  <c:v>43.917700000000899</c:v>
                </c:pt>
                <c:pt idx="977">
                  <c:v>43.917800000000902</c:v>
                </c:pt>
                <c:pt idx="978">
                  <c:v>43.917900000000905</c:v>
                </c:pt>
                <c:pt idx="979">
                  <c:v>43.918000000000909</c:v>
                </c:pt>
                <c:pt idx="980">
                  <c:v>43.918100000000912</c:v>
                </c:pt>
                <c:pt idx="981">
                  <c:v>43.918200000000915</c:v>
                </c:pt>
                <c:pt idx="982">
                  <c:v>43.918300000000919</c:v>
                </c:pt>
                <c:pt idx="983">
                  <c:v>43.918400000000922</c:v>
                </c:pt>
                <c:pt idx="984">
                  <c:v>43.918500000000925</c:v>
                </c:pt>
                <c:pt idx="985">
                  <c:v>43.918600000000929</c:v>
                </c:pt>
                <c:pt idx="986">
                  <c:v>43.918700000000932</c:v>
                </c:pt>
                <c:pt idx="987">
                  <c:v>43.918800000000935</c:v>
                </c:pt>
                <c:pt idx="988">
                  <c:v>43.918900000000939</c:v>
                </c:pt>
                <c:pt idx="989">
                  <c:v>43.919000000000942</c:v>
                </c:pt>
                <c:pt idx="990">
                  <c:v>43.919100000000945</c:v>
                </c:pt>
                <c:pt idx="991">
                  <c:v>43.919200000000949</c:v>
                </c:pt>
                <c:pt idx="992">
                  <c:v>43.919300000000952</c:v>
                </c:pt>
                <c:pt idx="993">
                  <c:v>43.919400000000955</c:v>
                </c:pt>
                <c:pt idx="994">
                  <c:v>43.919500000000959</c:v>
                </c:pt>
                <c:pt idx="995">
                  <c:v>43.919600000000962</c:v>
                </c:pt>
                <c:pt idx="996">
                  <c:v>43.919700000000965</c:v>
                </c:pt>
                <c:pt idx="997">
                  <c:v>43.919800000000969</c:v>
                </c:pt>
                <c:pt idx="998">
                  <c:v>43.919900000000972</c:v>
                </c:pt>
                <c:pt idx="999">
                  <c:v>43.920000000000975</c:v>
                </c:pt>
                <c:pt idx="1000">
                  <c:v>43.920100000000978</c:v>
                </c:pt>
              </c:numCache>
            </c:numRef>
          </c:xVal>
          <c:yVal>
            <c:numRef>
              <c:f>Calculs!$Q$4:$Q$1004</c:f>
              <c:numCache>
                <c:formatCode>0.00</c:formatCode>
                <c:ptCount val="1001"/>
                <c:pt idx="0">
                  <c:v>0</c:v>
                </c:pt>
                <c:pt idx="1">
                  <c:v>89.3</c:v>
                </c:pt>
                <c:pt idx="2">
                  <c:v>267.89999999999998</c:v>
                </c:pt>
                <c:pt idx="3">
                  <c:v>446.49999999999994</c:v>
                </c:pt>
                <c:pt idx="4">
                  <c:v>625.1</c:v>
                </c:pt>
                <c:pt idx="5">
                  <c:v>803.7</c:v>
                </c:pt>
                <c:pt idx="6">
                  <c:v>891.94444444444446</c:v>
                </c:pt>
                <c:pt idx="7">
                  <c:v>889.83333333333337</c:v>
                </c:pt>
                <c:pt idx="8">
                  <c:v>887.72222222222217</c:v>
                </c:pt>
                <c:pt idx="9">
                  <c:v>885.61111111111109</c:v>
                </c:pt>
                <c:pt idx="10">
                  <c:v>883.5</c:v>
                </c:pt>
                <c:pt idx="11">
                  <c:v>881.38888888888891</c:v>
                </c:pt>
                <c:pt idx="12">
                  <c:v>879.27777777777783</c:v>
                </c:pt>
                <c:pt idx="13">
                  <c:v>877.16666666666663</c:v>
                </c:pt>
                <c:pt idx="14">
                  <c:v>875.05555555555554</c:v>
                </c:pt>
                <c:pt idx="15">
                  <c:v>872.94444444444446</c:v>
                </c:pt>
                <c:pt idx="16">
                  <c:v>870.83333333333337</c:v>
                </c:pt>
                <c:pt idx="17">
                  <c:v>868.72222222222217</c:v>
                </c:pt>
                <c:pt idx="18">
                  <c:v>866.61111111111109</c:v>
                </c:pt>
                <c:pt idx="19">
                  <c:v>864.5</c:v>
                </c:pt>
                <c:pt idx="20">
                  <c:v>862.38888888888891</c:v>
                </c:pt>
                <c:pt idx="21">
                  <c:v>860.27777777777783</c:v>
                </c:pt>
                <c:pt idx="22">
                  <c:v>858.16666666666663</c:v>
                </c:pt>
                <c:pt idx="23">
                  <c:v>856.05555555555554</c:v>
                </c:pt>
                <c:pt idx="24">
                  <c:v>853.94444444444446</c:v>
                </c:pt>
                <c:pt idx="25">
                  <c:v>851.83333333333337</c:v>
                </c:pt>
                <c:pt idx="26">
                  <c:v>849.72222222222217</c:v>
                </c:pt>
                <c:pt idx="27">
                  <c:v>847.61111111111109</c:v>
                </c:pt>
                <c:pt idx="28">
                  <c:v>845.5</c:v>
                </c:pt>
                <c:pt idx="29">
                  <c:v>843.38888888888891</c:v>
                </c:pt>
                <c:pt idx="30">
                  <c:v>841.27777777777771</c:v>
                </c:pt>
                <c:pt idx="31">
                  <c:v>839.16666666666663</c:v>
                </c:pt>
                <c:pt idx="32">
                  <c:v>837.05555555555554</c:v>
                </c:pt>
                <c:pt idx="33">
                  <c:v>834.94444444444446</c:v>
                </c:pt>
                <c:pt idx="34">
                  <c:v>832.83333333333326</c:v>
                </c:pt>
                <c:pt idx="35">
                  <c:v>830.72222222222217</c:v>
                </c:pt>
                <c:pt idx="36">
                  <c:v>828.61111111111109</c:v>
                </c:pt>
                <c:pt idx="37">
                  <c:v>826.5</c:v>
                </c:pt>
                <c:pt idx="38">
                  <c:v>824.38888888888891</c:v>
                </c:pt>
                <c:pt idx="39">
                  <c:v>822.27777777777771</c:v>
                </c:pt>
                <c:pt idx="40">
                  <c:v>820.16666666666663</c:v>
                </c:pt>
                <c:pt idx="41">
                  <c:v>818.05555555555554</c:v>
                </c:pt>
                <c:pt idx="42">
                  <c:v>815.94444444444434</c:v>
                </c:pt>
                <c:pt idx="43">
                  <c:v>813.83333333333326</c:v>
                </c:pt>
                <c:pt idx="44">
                  <c:v>811.72222222222217</c:v>
                </c:pt>
                <c:pt idx="45">
                  <c:v>809.61111111111109</c:v>
                </c:pt>
                <c:pt idx="46">
                  <c:v>807.5</c:v>
                </c:pt>
                <c:pt idx="47">
                  <c:v>805.3888888888888</c:v>
                </c:pt>
                <c:pt idx="48">
                  <c:v>803.27777777777771</c:v>
                </c:pt>
                <c:pt idx="49">
                  <c:v>801.16666666666663</c:v>
                </c:pt>
                <c:pt idx="50">
                  <c:v>799.05555555555554</c:v>
                </c:pt>
                <c:pt idx="51">
                  <c:v>797.41</c:v>
                </c:pt>
                <c:pt idx="52">
                  <c:v>796.23</c:v>
                </c:pt>
                <c:pt idx="53">
                  <c:v>795.05</c:v>
                </c:pt>
                <c:pt idx="54">
                  <c:v>793.87</c:v>
                </c:pt>
                <c:pt idx="55">
                  <c:v>792.68999999999994</c:v>
                </c:pt>
                <c:pt idx="56">
                  <c:v>791.51</c:v>
                </c:pt>
                <c:pt idx="57">
                  <c:v>790.32999999999993</c:v>
                </c:pt>
                <c:pt idx="58">
                  <c:v>789.15</c:v>
                </c:pt>
                <c:pt idx="59">
                  <c:v>787.96999999999991</c:v>
                </c:pt>
                <c:pt idx="60">
                  <c:v>786.79</c:v>
                </c:pt>
                <c:pt idx="61">
                  <c:v>785.61</c:v>
                </c:pt>
                <c:pt idx="62">
                  <c:v>784.43</c:v>
                </c:pt>
                <c:pt idx="63">
                  <c:v>783.25</c:v>
                </c:pt>
                <c:pt idx="64">
                  <c:v>782.06999999999994</c:v>
                </c:pt>
                <c:pt idx="65">
                  <c:v>780.89</c:v>
                </c:pt>
                <c:pt idx="66">
                  <c:v>779.70999999999992</c:v>
                </c:pt>
                <c:pt idx="67">
                  <c:v>778.53</c:v>
                </c:pt>
                <c:pt idx="68">
                  <c:v>777.34999999999991</c:v>
                </c:pt>
                <c:pt idx="69">
                  <c:v>776.17</c:v>
                </c:pt>
                <c:pt idx="70">
                  <c:v>774.99</c:v>
                </c:pt>
                <c:pt idx="71">
                  <c:v>773.81</c:v>
                </c:pt>
                <c:pt idx="72">
                  <c:v>772.63</c:v>
                </c:pt>
                <c:pt idx="73">
                  <c:v>771.44999999999993</c:v>
                </c:pt>
                <c:pt idx="74">
                  <c:v>770.27</c:v>
                </c:pt>
                <c:pt idx="75">
                  <c:v>769.08999999999992</c:v>
                </c:pt>
                <c:pt idx="76">
                  <c:v>767.91</c:v>
                </c:pt>
                <c:pt idx="77">
                  <c:v>766.7299999999999</c:v>
                </c:pt>
                <c:pt idx="78">
                  <c:v>765.55</c:v>
                </c:pt>
                <c:pt idx="79">
                  <c:v>764.36999999999989</c:v>
                </c:pt>
                <c:pt idx="80">
                  <c:v>763.18999999999994</c:v>
                </c:pt>
                <c:pt idx="81">
                  <c:v>762.01</c:v>
                </c:pt>
                <c:pt idx="82">
                  <c:v>760.82999999999993</c:v>
                </c:pt>
                <c:pt idx="83">
                  <c:v>759.65</c:v>
                </c:pt>
                <c:pt idx="84">
                  <c:v>758.46999999999991</c:v>
                </c:pt>
                <c:pt idx="85">
                  <c:v>757.29</c:v>
                </c:pt>
                <c:pt idx="86">
                  <c:v>756.1099999999999</c:v>
                </c:pt>
                <c:pt idx="87">
                  <c:v>754.93</c:v>
                </c:pt>
                <c:pt idx="88">
                  <c:v>753.74999999999989</c:v>
                </c:pt>
                <c:pt idx="89">
                  <c:v>752.56999999999994</c:v>
                </c:pt>
                <c:pt idx="90">
                  <c:v>751.38999999999987</c:v>
                </c:pt>
                <c:pt idx="91">
                  <c:v>750.20999999999992</c:v>
                </c:pt>
                <c:pt idx="92">
                  <c:v>749.03</c:v>
                </c:pt>
                <c:pt idx="93">
                  <c:v>747.84999999999991</c:v>
                </c:pt>
                <c:pt idx="94">
                  <c:v>746.67</c:v>
                </c:pt>
                <c:pt idx="95">
                  <c:v>745.4899999999999</c:v>
                </c:pt>
                <c:pt idx="96">
                  <c:v>744.31</c:v>
                </c:pt>
                <c:pt idx="97">
                  <c:v>743.12999999999988</c:v>
                </c:pt>
                <c:pt idx="98">
                  <c:v>741.94999999999993</c:v>
                </c:pt>
                <c:pt idx="99">
                  <c:v>740.77</c:v>
                </c:pt>
                <c:pt idx="100">
                  <c:v>739.58999999999992</c:v>
                </c:pt>
                <c:pt idx="101">
                  <c:v>738.19999999999982</c:v>
                </c:pt>
                <c:pt idx="102">
                  <c:v>736.59999999999991</c:v>
                </c:pt>
                <c:pt idx="103">
                  <c:v>734.99999999999989</c:v>
                </c:pt>
                <c:pt idx="104">
                  <c:v>733.39999999999986</c:v>
                </c:pt>
                <c:pt idx="105">
                  <c:v>731.79999999999984</c:v>
                </c:pt>
                <c:pt idx="106">
                  <c:v>730.19999999999982</c:v>
                </c:pt>
                <c:pt idx="107">
                  <c:v>728.59999999999991</c:v>
                </c:pt>
                <c:pt idx="108">
                  <c:v>726.99999999999989</c:v>
                </c:pt>
                <c:pt idx="109">
                  <c:v>725.39999999999986</c:v>
                </c:pt>
                <c:pt idx="110">
                  <c:v>723.79999999999984</c:v>
                </c:pt>
                <c:pt idx="111">
                  <c:v>722.19999999999982</c:v>
                </c:pt>
                <c:pt idx="112">
                  <c:v>720.59999999999991</c:v>
                </c:pt>
                <c:pt idx="113">
                  <c:v>718.99999999999989</c:v>
                </c:pt>
                <c:pt idx="114">
                  <c:v>717.39999999999986</c:v>
                </c:pt>
                <c:pt idx="115">
                  <c:v>715.79999999999984</c:v>
                </c:pt>
                <c:pt idx="116">
                  <c:v>714.19999999999982</c:v>
                </c:pt>
                <c:pt idx="117">
                  <c:v>712.59999999999991</c:v>
                </c:pt>
                <c:pt idx="118">
                  <c:v>710.99999999999989</c:v>
                </c:pt>
                <c:pt idx="119">
                  <c:v>709.39999999999986</c:v>
                </c:pt>
                <c:pt idx="120">
                  <c:v>707.79999999999984</c:v>
                </c:pt>
                <c:pt idx="121">
                  <c:v>706.19999999999982</c:v>
                </c:pt>
                <c:pt idx="122">
                  <c:v>704.5999999999998</c:v>
                </c:pt>
                <c:pt idx="123">
                  <c:v>702.99999999999989</c:v>
                </c:pt>
                <c:pt idx="124">
                  <c:v>701.39999999999986</c:v>
                </c:pt>
                <c:pt idx="125">
                  <c:v>699.79999999999984</c:v>
                </c:pt>
                <c:pt idx="126">
                  <c:v>698.19999999999982</c:v>
                </c:pt>
                <c:pt idx="127">
                  <c:v>696.5999999999998</c:v>
                </c:pt>
                <c:pt idx="128">
                  <c:v>694.99999999999989</c:v>
                </c:pt>
                <c:pt idx="129">
                  <c:v>693.39999999999986</c:v>
                </c:pt>
                <c:pt idx="130">
                  <c:v>691.79999999999984</c:v>
                </c:pt>
                <c:pt idx="131">
                  <c:v>690.19999999999982</c:v>
                </c:pt>
                <c:pt idx="132">
                  <c:v>688.5999999999998</c:v>
                </c:pt>
                <c:pt idx="133">
                  <c:v>686.99999999999977</c:v>
                </c:pt>
                <c:pt idx="134">
                  <c:v>685.39999999999986</c:v>
                </c:pt>
                <c:pt idx="135">
                  <c:v>683.79999999999984</c:v>
                </c:pt>
                <c:pt idx="136">
                  <c:v>682.19999999999982</c:v>
                </c:pt>
                <c:pt idx="137">
                  <c:v>680.5999999999998</c:v>
                </c:pt>
                <c:pt idx="138">
                  <c:v>678.99999999999977</c:v>
                </c:pt>
                <c:pt idx="139">
                  <c:v>677.39999999999986</c:v>
                </c:pt>
                <c:pt idx="140">
                  <c:v>675.79999999999984</c:v>
                </c:pt>
                <c:pt idx="141">
                  <c:v>674.19999999999982</c:v>
                </c:pt>
                <c:pt idx="142">
                  <c:v>672.5999999999998</c:v>
                </c:pt>
                <c:pt idx="143">
                  <c:v>670.99999999999977</c:v>
                </c:pt>
                <c:pt idx="144">
                  <c:v>669.39999999999986</c:v>
                </c:pt>
                <c:pt idx="145">
                  <c:v>667.79999999999984</c:v>
                </c:pt>
                <c:pt idx="146">
                  <c:v>666.19999999999982</c:v>
                </c:pt>
                <c:pt idx="147">
                  <c:v>664.5999999999998</c:v>
                </c:pt>
                <c:pt idx="148">
                  <c:v>662.99999999999977</c:v>
                </c:pt>
                <c:pt idx="149">
                  <c:v>661.39999999999986</c:v>
                </c:pt>
                <c:pt idx="150">
                  <c:v>659.79999999999984</c:v>
                </c:pt>
                <c:pt idx="151">
                  <c:v>658.26999999999987</c:v>
                </c:pt>
                <c:pt idx="152">
                  <c:v>656.80999999999983</c:v>
                </c:pt>
                <c:pt idx="153">
                  <c:v>655.3499999999998</c:v>
                </c:pt>
                <c:pt idx="154">
                  <c:v>653.88999999999987</c:v>
                </c:pt>
                <c:pt idx="155">
                  <c:v>652.42999999999984</c:v>
                </c:pt>
                <c:pt idx="156">
                  <c:v>650.9699999999998</c:v>
                </c:pt>
                <c:pt idx="157">
                  <c:v>649.50999999999976</c:v>
                </c:pt>
                <c:pt idx="158">
                  <c:v>648.04999999999984</c:v>
                </c:pt>
                <c:pt idx="159">
                  <c:v>646.5899999999998</c:v>
                </c:pt>
                <c:pt idx="160">
                  <c:v>645.12999999999977</c:v>
                </c:pt>
                <c:pt idx="161">
                  <c:v>643.66999999999985</c:v>
                </c:pt>
                <c:pt idx="162">
                  <c:v>642.20999999999981</c:v>
                </c:pt>
                <c:pt idx="163">
                  <c:v>640.74999999999977</c:v>
                </c:pt>
                <c:pt idx="164">
                  <c:v>639.28999999999985</c:v>
                </c:pt>
                <c:pt idx="165">
                  <c:v>637.82999999999981</c:v>
                </c:pt>
                <c:pt idx="166">
                  <c:v>636.36999999999978</c:v>
                </c:pt>
                <c:pt idx="167">
                  <c:v>634.90999999999985</c:v>
                </c:pt>
                <c:pt idx="168">
                  <c:v>633.44999999999982</c:v>
                </c:pt>
                <c:pt idx="169">
                  <c:v>631.98999999999978</c:v>
                </c:pt>
                <c:pt idx="170">
                  <c:v>630.52999999999975</c:v>
                </c:pt>
                <c:pt idx="171">
                  <c:v>629.06999999999982</c:v>
                </c:pt>
                <c:pt idx="172">
                  <c:v>627.60999999999979</c:v>
                </c:pt>
                <c:pt idx="173">
                  <c:v>626.14999999999975</c:v>
                </c:pt>
                <c:pt idx="174">
                  <c:v>624.68999999999983</c:v>
                </c:pt>
                <c:pt idx="175">
                  <c:v>623.22999999999979</c:v>
                </c:pt>
                <c:pt idx="176">
                  <c:v>621.76999999999975</c:v>
                </c:pt>
                <c:pt idx="177">
                  <c:v>620.30999999999983</c:v>
                </c:pt>
                <c:pt idx="178">
                  <c:v>618.8499999999998</c:v>
                </c:pt>
                <c:pt idx="179">
                  <c:v>617.38999999999976</c:v>
                </c:pt>
                <c:pt idx="180">
                  <c:v>615.92999999999984</c:v>
                </c:pt>
                <c:pt idx="181">
                  <c:v>614.4699999999998</c:v>
                </c:pt>
                <c:pt idx="182">
                  <c:v>613.00999999999976</c:v>
                </c:pt>
                <c:pt idx="183">
                  <c:v>611.54999999999973</c:v>
                </c:pt>
                <c:pt idx="184">
                  <c:v>610.0899999999998</c:v>
                </c:pt>
                <c:pt idx="185">
                  <c:v>608.62999999999977</c:v>
                </c:pt>
                <c:pt idx="186">
                  <c:v>607.16999999999973</c:v>
                </c:pt>
                <c:pt idx="187">
                  <c:v>605.70999999999981</c:v>
                </c:pt>
                <c:pt idx="188">
                  <c:v>604.24999999999977</c:v>
                </c:pt>
                <c:pt idx="189">
                  <c:v>602.78999999999974</c:v>
                </c:pt>
                <c:pt idx="190">
                  <c:v>601.32999999999981</c:v>
                </c:pt>
                <c:pt idx="191">
                  <c:v>599.86999999999978</c:v>
                </c:pt>
                <c:pt idx="192">
                  <c:v>598.40999999999974</c:v>
                </c:pt>
                <c:pt idx="193">
                  <c:v>596.94999999999982</c:v>
                </c:pt>
                <c:pt idx="194">
                  <c:v>595.48999999999978</c:v>
                </c:pt>
                <c:pt idx="195">
                  <c:v>594.02999999999975</c:v>
                </c:pt>
                <c:pt idx="196">
                  <c:v>592.56999999999971</c:v>
                </c:pt>
                <c:pt idx="197">
                  <c:v>591.10999999999979</c:v>
                </c:pt>
                <c:pt idx="198">
                  <c:v>589.64999999999975</c:v>
                </c:pt>
                <c:pt idx="199">
                  <c:v>588.18999999999971</c:v>
                </c:pt>
                <c:pt idx="200">
                  <c:v>586.72999999999979</c:v>
                </c:pt>
                <c:pt idx="201">
                  <c:v>585.26999999999987</c:v>
                </c:pt>
                <c:pt idx="202">
                  <c:v>583.80999999999983</c:v>
                </c:pt>
                <c:pt idx="203">
                  <c:v>582.34999999999991</c:v>
                </c:pt>
                <c:pt idx="204">
                  <c:v>580.88999999999987</c:v>
                </c:pt>
                <c:pt idx="205">
                  <c:v>579.42999999999995</c:v>
                </c:pt>
                <c:pt idx="206">
                  <c:v>577.97</c:v>
                </c:pt>
                <c:pt idx="207">
                  <c:v>576.51</c:v>
                </c:pt>
                <c:pt idx="208">
                  <c:v>575.05000000000007</c:v>
                </c:pt>
                <c:pt idx="209">
                  <c:v>573.59</c:v>
                </c:pt>
                <c:pt idx="210">
                  <c:v>572.13000000000011</c:v>
                </c:pt>
                <c:pt idx="211">
                  <c:v>570.67000000000019</c:v>
                </c:pt>
                <c:pt idx="212">
                  <c:v>569.21000000000015</c:v>
                </c:pt>
                <c:pt idx="213">
                  <c:v>567.75000000000023</c:v>
                </c:pt>
                <c:pt idx="214">
                  <c:v>566.29000000000019</c:v>
                </c:pt>
                <c:pt idx="215">
                  <c:v>564.83000000000027</c:v>
                </c:pt>
                <c:pt idx="216">
                  <c:v>563.37000000000035</c:v>
                </c:pt>
                <c:pt idx="217">
                  <c:v>561.91000000000031</c:v>
                </c:pt>
                <c:pt idx="218">
                  <c:v>560.45000000000039</c:v>
                </c:pt>
                <c:pt idx="219">
                  <c:v>558.99000000000035</c:v>
                </c:pt>
                <c:pt idx="220">
                  <c:v>557.53000000000043</c:v>
                </c:pt>
                <c:pt idx="221">
                  <c:v>556.07000000000039</c:v>
                </c:pt>
                <c:pt idx="222">
                  <c:v>554.61000000000047</c:v>
                </c:pt>
                <c:pt idx="223">
                  <c:v>553.15000000000055</c:v>
                </c:pt>
                <c:pt idx="224">
                  <c:v>551.69000000000051</c:v>
                </c:pt>
                <c:pt idx="225">
                  <c:v>550.23000000000059</c:v>
                </c:pt>
                <c:pt idx="226">
                  <c:v>548.77000000000055</c:v>
                </c:pt>
                <c:pt idx="227">
                  <c:v>547.31000000000063</c:v>
                </c:pt>
                <c:pt idx="228">
                  <c:v>545.8500000000007</c:v>
                </c:pt>
                <c:pt idx="229">
                  <c:v>544.39000000000067</c:v>
                </c:pt>
                <c:pt idx="230">
                  <c:v>542.93000000000075</c:v>
                </c:pt>
                <c:pt idx="231">
                  <c:v>541.47000000000071</c:v>
                </c:pt>
                <c:pt idx="232">
                  <c:v>540.01000000000079</c:v>
                </c:pt>
                <c:pt idx="233">
                  <c:v>538.55000000000086</c:v>
                </c:pt>
                <c:pt idx="234">
                  <c:v>537.09000000000083</c:v>
                </c:pt>
                <c:pt idx="235">
                  <c:v>535.6300000000009</c:v>
                </c:pt>
                <c:pt idx="236">
                  <c:v>534.17000000000087</c:v>
                </c:pt>
                <c:pt idx="237">
                  <c:v>532.71000000000095</c:v>
                </c:pt>
                <c:pt idx="238">
                  <c:v>531.25000000000102</c:v>
                </c:pt>
                <c:pt idx="239">
                  <c:v>529.79000000000099</c:v>
                </c:pt>
                <c:pt idx="240">
                  <c:v>528.33000000000106</c:v>
                </c:pt>
                <c:pt idx="241">
                  <c:v>526.87000000000103</c:v>
                </c:pt>
                <c:pt idx="242">
                  <c:v>525.41000000000111</c:v>
                </c:pt>
                <c:pt idx="243">
                  <c:v>523.95000000000118</c:v>
                </c:pt>
                <c:pt idx="244">
                  <c:v>522.49000000000115</c:v>
                </c:pt>
                <c:pt idx="245">
                  <c:v>521.03000000000122</c:v>
                </c:pt>
                <c:pt idx="246">
                  <c:v>519.57000000000119</c:v>
                </c:pt>
                <c:pt idx="247">
                  <c:v>518.11000000000126</c:v>
                </c:pt>
                <c:pt idx="248">
                  <c:v>516.65000000000123</c:v>
                </c:pt>
                <c:pt idx="249">
                  <c:v>515.19000000000131</c:v>
                </c:pt>
                <c:pt idx="250">
                  <c:v>513.73000000000138</c:v>
                </c:pt>
                <c:pt idx="251">
                  <c:v>511.97872340425727</c:v>
                </c:pt>
                <c:pt idx="252">
                  <c:v>509.93617021276793</c:v>
                </c:pt>
                <c:pt idx="253">
                  <c:v>507.8936170212786</c:v>
                </c:pt>
                <c:pt idx="254">
                  <c:v>505.85106382978927</c:v>
                </c:pt>
                <c:pt idx="255">
                  <c:v>503.80851063829999</c:v>
                </c:pt>
                <c:pt idx="256">
                  <c:v>501.76595744681066</c:v>
                </c:pt>
                <c:pt idx="257">
                  <c:v>499.72340425532133</c:v>
                </c:pt>
                <c:pt idx="258">
                  <c:v>497.68085106383205</c:v>
                </c:pt>
                <c:pt idx="259">
                  <c:v>495.63829787234272</c:v>
                </c:pt>
                <c:pt idx="260">
                  <c:v>493.59574468085339</c:v>
                </c:pt>
                <c:pt idx="261">
                  <c:v>491.55319148936405</c:v>
                </c:pt>
                <c:pt idx="262">
                  <c:v>489.51063829787478</c:v>
                </c:pt>
                <c:pt idx="263">
                  <c:v>487.46808510638544</c:v>
                </c:pt>
                <c:pt idx="264">
                  <c:v>485.42553191489611</c:v>
                </c:pt>
                <c:pt idx="265">
                  <c:v>483.38297872340678</c:v>
                </c:pt>
                <c:pt idx="266">
                  <c:v>481.3404255319175</c:v>
                </c:pt>
                <c:pt idx="267">
                  <c:v>479.29787234042817</c:v>
                </c:pt>
                <c:pt idx="268">
                  <c:v>477.25531914893884</c:v>
                </c:pt>
                <c:pt idx="269">
                  <c:v>475.21276595744951</c:v>
                </c:pt>
                <c:pt idx="270">
                  <c:v>473.17021276596023</c:v>
                </c:pt>
                <c:pt idx="271">
                  <c:v>471.1276595744709</c:v>
                </c:pt>
                <c:pt idx="272">
                  <c:v>469.08510638298156</c:v>
                </c:pt>
                <c:pt idx="273">
                  <c:v>467.04255319149229</c:v>
                </c:pt>
                <c:pt idx="274">
                  <c:v>465.00000000000296</c:v>
                </c:pt>
                <c:pt idx="275">
                  <c:v>462.95744680851362</c:v>
                </c:pt>
                <c:pt idx="276">
                  <c:v>460.91489361702429</c:v>
                </c:pt>
                <c:pt idx="277">
                  <c:v>458.87234042553501</c:v>
                </c:pt>
                <c:pt idx="278">
                  <c:v>456.82978723404568</c:v>
                </c:pt>
                <c:pt idx="279">
                  <c:v>454.78723404255635</c:v>
                </c:pt>
                <c:pt idx="280">
                  <c:v>452.74468085106707</c:v>
                </c:pt>
                <c:pt idx="281">
                  <c:v>450.70212765957774</c:v>
                </c:pt>
                <c:pt idx="282">
                  <c:v>448.65957446808841</c:v>
                </c:pt>
                <c:pt idx="283">
                  <c:v>446.61702127659908</c:v>
                </c:pt>
                <c:pt idx="284">
                  <c:v>444.57446808510974</c:v>
                </c:pt>
                <c:pt idx="285">
                  <c:v>442.53191489362047</c:v>
                </c:pt>
                <c:pt idx="286">
                  <c:v>440.48936170213113</c:v>
                </c:pt>
                <c:pt idx="287">
                  <c:v>438.44680851064186</c:v>
                </c:pt>
                <c:pt idx="288">
                  <c:v>436.40425531915253</c:v>
                </c:pt>
                <c:pt idx="289">
                  <c:v>434.36170212766319</c:v>
                </c:pt>
                <c:pt idx="290">
                  <c:v>432.31914893617386</c:v>
                </c:pt>
                <c:pt idx="291">
                  <c:v>430.27659574468453</c:v>
                </c:pt>
                <c:pt idx="292">
                  <c:v>428.23404255319525</c:v>
                </c:pt>
                <c:pt idx="293">
                  <c:v>426.19148936170592</c:v>
                </c:pt>
                <c:pt idx="294">
                  <c:v>424.14893617021659</c:v>
                </c:pt>
                <c:pt idx="295">
                  <c:v>422.10638297872731</c:v>
                </c:pt>
                <c:pt idx="296">
                  <c:v>420.06382978723798</c:v>
                </c:pt>
                <c:pt idx="297">
                  <c:v>418.02127659574865</c:v>
                </c:pt>
                <c:pt idx="298">
                  <c:v>412.82608695653812</c:v>
                </c:pt>
                <c:pt idx="299">
                  <c:v>404.47826086958179</c:v>
                </c:pt>
                <c:pt idx="300">
                  <c:v>396.13043478262546</c:v>
                </c:pt>
                <c:pt idx="301">
                  <c:v>387.78260869566913</c:v>
                </c:pt>
                <c:pt idx="302">
                  <c:v>379.43478260871274</c:v>
                </c:pt>
                <c:pt idx="303">
                  <c:v>371.08695652175641</c:v>
                </c:pt>
                <c:pt idx="304">
                  <c:v>362.73913043480007</c:v>
                </c:pt>
                <c:pt idx="305">
                  <c:v>354.39130434784374</c:v>
                </c:pt>
                <c:pt idx="306">
                  <c:v>346.04347826088735</c:v>
                </c:pt>
                <c:pt idx="307">
                  <c:v>337.69565217393102</c:v>
                </c:pt>
                <c:pt idx="308">
                  <c:v>329.34782608697469</c:v>
                </c:pt>
                <c:pt idx="309">
                  <c:v>321.00000000001836</c:v>
                </c:pt>
                <c:pt idx="310">
                  <c:v>312.65217391306203</c:v>
                </c:pt>
                <c:pt idx="311">
                  <c:v>304.30434782610564</c:v>
                </c:pt>
                <c:pt idx="312">
                  <c:v>295.95652173914931</c:v>
                </c:pt>
                <c:pt idx="313">
                  <c:v>287.60869565219298</c:v>
                </c:pt>
                <c:pt idx="314">
                  <c:v>279.26086956523659</c:v>
                </c:pt>
                <c:pt idx="315">
                  <c:v>270.91304347828031</c:v>
                </c:pt>
                <c:pt idx="316">
                  <c:v>262.56521739132393</c:v>
                </c:pt>
                <c:pt idx="317">
                  <c:v>254.2173913043676</c:v>
                </c:pt>
                <c:pt idx="318">
                  <c:v>245.86956521741126</c:v>
                </c:pt>
                <c:pt idx="319">
                  <c:v>237.5217391304549</c:v>
                </c:pt>
                <c:pt idx="320">
                  <c:v>229.17391304349857</c:v>
                </c:pt>
                <c:pt idx="321">
                  <c:v>222.07407407408843</c:v>
                </c:pt>
                <c:pt idx="322">
                  <c:v>216.2222222222367</c:v>
                </c:pt>
                <c:pt idx="323">
                  <c:v>210.37037037038499</c:v>
                </c:pt>
                <c:pt idx="324">
                  <c:v>204.51851851853326</c:v>
                </c:pt>
                <c:pt idx="325">
                  <c:v>198.66666666668152</c:v>
                </c:pt>
                <c:pt idx="326">
                  <c:v>192.81481481482979</c:v>
                </c:pt>
                <c:pt idx="327">
                  <c:v>186.96296296297808</c:v>
                </c:pt>
                <c:pt idx="328">
                  <c:v>181.11111111112635</c:v>
                </c:pt>
                <c:pt idx="329">
                  <c:v>175.25925925927461</c:v>
                </c:pt>
                <c:pt idx="330">
                  <c:v>169.40740740742291</c:v>
                </c:pt>
                <c:pt idx="331">
                  <c:v>163.55555555557117</c:v>
                </c:pt>
                <c:pt idx="332">
                  <c:v>157.70370370371944</c:v>
                </c:pt>
                <c:pt idx="333">
                  <c:v>151.85185185186771</c:v>
                </c:pt>
                <c:pt idx="334">
                  <c:v>146.00000000001597</c:v>
                </c:pt>
                <c:pt idx="335">
                  <c:v>140.14814814816427</c:v>
                </c:pt>
                <c:pt idx="336">
                  <c:v>134.29629629631253</c:v>
                </c:pt>
                <c:pt idx="337">
                  <c:v>128.44444444446083</c:v>
                </c:pt>
                <c:pt idx="338">
                  <c:v>122.59259259260908</c:v>
                </c:pt>
                <c:pt idx="339">
                  <c:v>116.74074074075736</c:v>
                </c:pt>
                <c:pt idx="340">
                  <c:v>110.88888888890563</c:v>
                </c:pt>
                <c:pt idx="341">
                  <c:v>105.03703703705391</c:v>
                </c:pt>
                <c:pt idx="342">
                  <c:v>99.185185185202172</c:v>
                </c:pt>
                <c:pt idx="343">
                  <c:v>93.333333333350453</c:v>
                </c:pt>
                <c:pt idx="344">
                  <c:v>87.481481481498719</c:v>
                </c:pt>
                <c:pt idx="345">
                  <c:v>81.629629629646985</c:v>
                </c:pt>
                <c:pt idx="346">
                  <c:v>75.777777777795279</c:v>
                </c:pt>
                <c:pt idx="347">
                  <c:v>69.925925925943545</c:v>
                </c:pt>
                <c:pt idx="348">
                  <c:v>64.20833333335024</c:v>
                </c:pt>
                <c:pt idx="349">
                  <c:v>58.625000000017017</c:v>
                </c:pt>
                <c:pt idx="350">
                  <c:v>53.041666666683788</c:v>
                </c:pt>
                <c:pt idx="351">
                  <c:v>47.458333333350552</c:v>
                </c:pt>
                <c:pt idx="352">
                  <c:v>41.875000000017323</c:v>
                </c:pt>
                <c:pt idx="353">
                  <c:v>36.291666666684094</c:v>
                </c:pt>
                <c:pt idx="354">
                  <c:v>30.708333333350872</c:v>
                </c:pt>
                <c:pt idx="355">
                  <c:v>25.125000000017643</c:v>
                </c:pt>
                <c:pt idx="356">
                  <c:v>19.541666666684407</c:v>
                </c:pt>
                <c:pt idx="357">
                  <c:v>13.958333333351177</c:v>
                </c:pt>
                <c:pt idx="358">
                  <c:v>8.3750000000179483</c:v>
                </c:pt>
                <c:pt idx="359">
                  <c:v>2.7916666666847192</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35.900000000000198</c:v>
                </c:pt>
                <c:pt idx="720">
                  <c:v>36.000000000000199</c:v>
                </c:pt>
                <c:pt idx="721">
                  <c:v>36.1000000000002</c:v>
                </c:pt>
                <c:pt idx="722">
                  <c:v>36.200000000000202</c:v>
                </c:pt>
                <c:pt idx="723">
                  <c:v>36.300000000000203</c:v>
                </c:pt>
                <c:pt idx="724">
                  <c:v>36.400000000000205</c:v>
                </c:pt>
                <c:pt idx="725">
                  <c:v>36.500000000000206</c:v>
                </c:pt>
                <c:pt idx="726">
                  <c:v>36.600000000000207</c:v>
                </c:pt>
                <c:pt idx="727">
                  <c:v>36.700000000000209</c:v>
                </c:pt>
                <c:pt idx="728">
                  <c:v>36.80000000000021</c:v>
                </c:pt>
                <c:pt idx="729">
                  <c:v>36.900000000000212</c:v>
                </c:pt>
                <c:pt idx="730">
                  <c:v>37.000000000000213</c:v>
                </c:pt>
                <c:pt idx="731">
                  <c:v>37.100000000000215</c:v>
                </c:pt>
                <c:pt idx="732">
                  <c:v>37.200000000000216</c:v>
                </c:pt>
                <c:pt idx="733">
                  <c:v>37.300000000000217</c:v>
                </c:pt>
                <c:pt idx="734">
                  <c:v>37.400000000000219</c:v>
                </c:pt>
                <c:pt idx="735">
                  <c:v>37.50000000000022</c:v>
                </c:pt>
                <c:pt idx="736">
                  <c:v>37.600000000000222</c:v>
                </c:pt>
                <c:pt idx="737">
                  <c:v>37.700000000000223</c:v>
                </c:pt>
                <c:pt idx="738">
                  <c:v>37.800000000000225</c:v>
                </c:pt>
                <c:pt idx="739">
                  <c:v>37.900000000000226</c:v>
                </c:pt>
                <c:pt idx="740">
                  <c:v>38.000000000000227</c:v>
                </c:pt>
                <c:pt idx="741">
                  <c:v>38.100000000000229</c:v>
                </c:pt>
                <c:pt idx="742">
                  <c:v>38.20000000000023</c:v>
                </c:pt>
                <c:pt idx="743">
                  <c:v>38.300000000000232</c:v>
                </c:pt>
                <c:pt idx="744">
                  <c:v>38.400000000000233</c:v>
                </c:pt>
                <c:pt idx="745">
                  <c:v>38.500000000000234</c:v>
                </c:pt>
                <c:pt idx="746">
                  <c:v>38.600000000000236</c:v>
                </c:pt>
                <c:pt idx="747">
                  <c:v>38.700000000000237</c:v>
                </c:pt>
                <c:pt idx="748">
                  <c:v>38.800000000000239</c:v>
                </c:pt>
                <c:pt idx="749">
                  <c:v>38.90000000000024</c:v>
                </c:pt>
                <c:pt idx="750">
                  <c:v>39.000000000000242</c:v>
                </c:pt>
                <c:pt idx="751">
                  <c:v>39.100000000000243</c:v>
                </c:pt>
                <c:pt idx="752">
                  <c:v>39.200000000000244</c:v>
                </c:pt>
                <c:pt idx="753">
                  <c:v>39.300000000000246</c:v>
                </c:pt>
                <c:pt idx="754">
                  <c:v>39.400000000000247</c:v>
                </c:pt>
                <c:pt idx="755">
                  <c:v>39.500000000000249</c:v>
                </c:pt>
                <c:pt idx="756">
                  <c:v>39.60000000000025</c:v>
                </c:pt>
                <c:pt idx="757">
                  <c:v>39.700000000000252</c:v>
                </c:pt>
                <c:pt idx="758">
                  <c:v>39.800000000000253</c:v>
                </c:pt>
                <c:pt idx="759">
                  <c:v>39.900000000000254</c:v>
                </c:pt>
                <c:pt idx="760">
                  <c:v>40.000000000000256</c:v>
                </c:pt>
                <c:pt idx="761">
                  <c:v>40.100000000000257</c:v>
                </c:pt>
                <c:pt idx="762">
                  <c:v>40.200000000000259</c:v>
                </c:pt>
                <c:pt idx="763">
                  <c:v>40.30000000000026</c:v>
                </c:pt>
                <c:pt idx="764">
                  <c:v>40.400000000000261</c:v>
                </c:pt>
                <c:pt idx="765">
                  <c:v>40.500000000000263</c:v>
                </c:pt>
                <c:pt idx="766">
                  <c:v>40.600000000000264</c:v>
                </c:pt>
                <c:pt idx="767">
                  <c:v>40.700000000000266</c:v>
                </c:pt>
                <c:pt idx="768">
                  <c:v>40.800000000000267</c:v>
                </c:pt>
                <c:pt idx="769">
                  <c:v>40.900000000000269</c:v>
                </c:pt>
                <c:pt idx="770">
                  <c:v>41.00000000000027</c:v>
                </c:pt>
                <c:pt idx="771">
                  <c:v>41.100000000000271</c:v>
                </c:pt>
                <c:pt idx="772">
                  <c:v>41.200000000000273</c:v>
                </c:pt>
                <c:pt idx="773">
                  <c:v>41.300000000000274</c:v>
                </c:pt>
                <c:pt idx="774">
                  <c:v>41.400000000000276</c:v>
                </c:pt>
                <c:pt idx="775">
                  <c:v>41.500000000000277</c:v>
                </c:pt>
                <c:pt idx="776">
                  <c:v>41.600000000000279</c:v>
                </c:pt>
                <c:pt idx="777">
                  <c:v>41.70000000000028</c:v>
                </c:pt>
                <c:pt idx="778">
                  <c:v>41.800000000000281</c:v>
                </c:pt>
                <c:pt idx="779">
                  <c:v>41.900000000000283</c:v>
                </c:pt>
                <c:pt idx="780">
                  <c:v>42.000000000000284</c:v>
                </c:pt>
                <c:pt idx="781">
                  <c:v>42.100000000000286</c:v>
                </c:pt>
                <c:pt idx="782">
                  <c:v>42.200000000000287</c:v>
                </c:pt>
                <c:pt idx="783">
                  <c:v>42.300000000000288</c:v>
                </c:pt>
                <c:pt idx="784">
                  <c:v>42.40000000000029</c:v>
                </c:pt>
                <c:pt idx="785">
                  <c:v>42.500000000000291</c:v>
                </c:pt>
                <c:pt idx="786">
                  <c:v>42.600000000000293</c:v>
                </c:pt>
                <c:pt idx="787">
                  <c:v>42.700000000000294</c:v>
                </c:pt>
                <c:pt idx="788">
                  <c:v>42.800000000000296</c:v>
                </c:pt>
                <c:pt idx="789">
                  <c:v>42.900000000000297</c:v>
                </c:pt>
                <c:pt idx="790">
                  <c:v>43.000000000000298</c:v>
                </c:pt>
                <c:pt idx="791">
                  <c:v>43.1000000000003</c:v>
                </c:pt>
                <c:pt idx="792">
                  <c:v>43.200000000000301</c:v>
                </c:pt>
                <c:pt idx="793">
                  <c:v>43.300000000000303</c:v>
                </c:pt>
                <c:pt idx="794">
                  <c:v>43.400000000000304</c:v>
                </c:pt>
                <c:pt idx="795">
                  <c:v>43.500000000000306</c:v>
                </c:pt>
                <c:pt idx="796">
                  <c:v>43.600000000000307</c:v>
                </c:pt>
                <c:pt idx="797">
                  <c:v>43.700000000000308</c:v>
                </c:pt>
                <c:pt idx="798">
                  <c:v>43.80000000000031</c:v>
                </c:pt>
                <c:pt idx="799">
                  <c:v>43.900000000000311</c:v>
                </c:pt>
                <c:pt idx="800">
                  <c:v>43.900100000000315</c:v>
                </c:pt>
                <c:pt idx="801">
                  <c:v>43.900200000000318</c:v>
                </c:pt>
                <c:pt idx="802">
                  <c:v>43.900300000000321</c:v>
                </c:pt>
                <c:pt idx="803">
                  <c:v>43.900400000000324</c:v>
                </c:pt>
                <c:pt idx="804">
                  <c:v>43.900500000000328</c:v>
                </c:pt>
                <c:pt idx="805">
                  <c:v>43.900600000000331</c:v>
                </c:pt>
                <c:pt idx="806">
                  <c:v>43.900700000000334</c:v>
                </c:pt>
                <c:pt idx="807">
                  <c:v>43.900800000000338</c:v>
                </c:pt>
                <c:pt idx="808">
                  <c:v>43.900900000000341</c:v>
                </c:pt>
                <c:pt idx="809">
                  <c:v>43.901000000000344</c:v>
                </c:pt>
                <c:pt idx="810">
                  <c:v>43.901100000000348</c:v>
                </c:pt>
                <c:pt idx="811">
                  <c:v>43.901200000000351</c:v>
                </c:pt>
                <c:pt idx="812">
                  <c:v>43.901300000000354</c:v>
                </c:pt>
                <c:pt idx="813">
                  <c:v>43.901400000000358</c:v>
                </c:pt>
                <c:pt idx="814">
                  <c:v>43.901500000000361</c:v>
                </c:pt>
                <c:pt idx="815">
                  <c:v>43.901600000000364</c:v>
                </c:pt>
                <c:pt idx="816">
                  <c:v>43.901700000000368</c:v>
                </c:pt>
                <c:pt idx="817">
                  <c:v>43.901800000000371</c:v>
                </c:pt>
                <c:pt idx="818">
                  <c:v>43.901900000000374</c:v>
                </c:pt>
                <c:pt idx="819">
                  <c:v>43.902000000000378</c:v>
                </c:pt>
                <c:pt idx="820">
                  <c:v>43.902100000000381</c:v>
                </c:pt>
                <c:pt idx="821">
                  <c:v>43.902200000000384</c:v>
                </c:pt>
                <c:pt idx="822">
                  <c:v>43.902300000000388</c:v>
                </c:pt>
                <c:pt idx="823">
                  <c:v>43.902400000000391</c:v>
                </c:pt>
                <c:pt idx="824">
                  <c:v>43.902500000000394</c:v>
                </c:pt>
                <c:pt idx="825">
                  <c:v>43.902600000000398</c:v>
                </c:pt>
                <c:pt idx="826">
                  <c:v>43.902700000000401</c:v>
                </c:pt>
                <c:pt idx="827">
                  <c:v>43.902800000000404</c:v>
                </c:pt>
                <c:pt idx="828">
                  <c:v>43.902900000000407</c:v>
                </c:pt>
                <c:pt idx="829">
                  <c:v>43.903000000000411</c:v>
                </c:pt>
                <c:pt idx="830">
                  <c:v>43.903100000000414</c:v>
                </c:pt>
                <c:pt idx="831">
                  <c:v>43.903200000000417</c:v>
                </c:pt>
                <c:pt idx="832">
                  <c:v>43.903300000000421</c:v>
                </c:pt>
                <c:pt idx="833">
                  <c:v>43.903400000000424</c:v>
                </c:pt>
                <c:pt idx="834">
                  <c:v>43.903500000000427</c:v>
                </c:pt>
                <c:pt idx="835">
                  <c:v>43.903600000000431</c:v>
                </c:pt>
                <c:pt idx="836">
                  <c:v>43.903700000000434</c:v>
                </c:pt>
                <c:pt idx="837">
                  <c:v>43.903800000000437</c:v>
                </c:pt>
                <c:pt idx="838">
                  <c:v>43.903900000000441</c:v>
                </c:pt>
                <c:pt idx="839">
                  <c:v>43.904000000000444</c:v>
                </c:pt>
                <c:pt idx="840">
                  <c:v>43.904100000000447</c:v>
                </c:pt>
                <c:pt idx="841">
                  <c:v>43.904200000000451</c:v>
                </c:pt>
                <c:pt idx="842">
                  <c:v>43.904300000000454</c:v>
                </c:pt>
                <c:pt idx="843">
                  <c:v>43.904400000000457</c:v>
                </c:pt>
                <c:pt idx="844">
                  <c:v>43.904500000000461</c:v>
                </c:pt>
                <c:pt idx="845">
                  <c:v>43.904600000000464</c:v>
                </c:pt>
                <c:pt idx="846">
                  <c:v>43.904700000000467</c:v>
                </c:pt>
                <c:pt idx="847">
                  <c:v>43.904800000000471</c:v>
                </c:pt>
                <c:pt idx="848">
                  <c:v>43.904900000000474</c:v>
                </c:pt>
                <c:pt idx="849">
                  <c:v>43.905000000000477</c:v>
                </c:pt>
                <c:pt idx="850">
                  <c:v>43.905100000000481</c:v>
                </c:pt>
                <c:pt idx="851">
                  <c:v>43.905200000000484</c:v>
                </c:pt>
                <c:pt idx="852">
                  <c:v>43.905300000000487</c:v>
                </c:pt>
                <c:pt idx="853">
                  <c:v>43.90540000000049</c:v>
                </c:pt>
                <c:pt idx="854">
                  <c:v>43.905500000000494</c:v>
                </c:pt>
                <c:pt idx="855">
                  <c:v>43.905600000000497</c:v>
                </c:pt>
                <c:pt idx="856">
                  <c:v>43.9057000000005</c:v>
                </c:pt>
                <c:pt idx="857">
                  <c:v>43.905800000000504</c:v>
                </c:pt>
                <c:pt idx="858">
                  <c:v>43.905900000000507</c:v>
                </c:pt>
                <c:pt idx="859">
                  <c:v>43.90600000000051</c:v>
                </c:pt>
                <c:pt idx="860">
                  <c:v>43.906100000000514</c:v>
                </c:pt>
                <c:pt idx="861">
                  <c:v>43.906200000000517</c:v>
                </c:pt>
                <c:pt idx="862">
                  <c:v>43.90630000000052</c:v>
                </c:pt>
                <c:pt idx="863">
                  <c:v>43.906400000000524</c:v>
                </c:pt>
                <c:pt idx="864">
                  <c:v>43.906500000000527</c:v>
                </c:pt>
                <c:pt idx="865">
                  <c:v>43.90660000000053</c:v>
                </c:pt>
                <c:pt idx="866">
                  <c:v>43.906700000000534</c:v>
                </c:pt>
                <c:pt idx="867">
                  <c:v>43.906800000000537</c:v>
                </c:pt>
                <c:pt idx="868">
                  <c:v>43.90690000000054</c:v>
                </c:pt>
                <c:pt idx="869">
                  <c:v>43.907000000000544</c:v>
                </c:pt>
                <c:pt idx="870">
                  <c:v>43.907100000000547</c:v>
                </c:pt>
                <c:pt idx="871">
                  <c:v>43.90720000000055</c:v>
                </c:pt>
                <c:pt idx="872">
                  <c:v>43.907300000000554</c:v>
                </c:pt>
                <c:pt idx="873">
                  <c:v>43.907400000000557</c:v>
                </c:pt>
                <c:pt idx="874">
                  <c:v>43.90750000000056</c:v>
                </c:pt>
                <c:pt idx="875">
                  <c:v>43.907600000000564</c:v>
                </c:pt>
                <c:pt idx="876">
                  <c:v>43.907700000000567</c:v>
                </c:pt>
                <c:pt idx="877">
                  <c:v>43.90780000000057</c:v>
                </c:pt>
                <c:pt idx="878">
                  <c:v>43.907900000000573</c:v>
                </c:pt>
                <c:pt idx="879">
                  <c:v>43.908000000000577</c:v>
                </c:pt>
                <c:pt idx="880">
                  <c:v>43.90810000000058</c:v>
                </c:pt>
                <c:pt idx="881">
                  <c:v>43.908200000000583</c:v>
                </c:pt>
                <c:pt idx="882">
                  <c:v>43.908300000000587</c:v>
                </c:pt>
                <c:pt idx="883">
                  <c:v>43.90840000000059</c:v>
                </c:pt>
                <c:pt idx="884">
                  <c:v>43.908500000000593</c:v>
                </c:pt>
                <c:pt idx="885">
                  <c:v>43.908600000000597</c:v>
                </c:pt>
                <c:pt idx="886">
                  <c:v>43.9087000000006</c:v>
                </c:pt>
                <c:pt idx="887">
                  <c:v>43.908800000000603</c:v>
                </c:pt>
                <c:pt idx="888">
                  <c:v>43.908900000000607</c:v>
                </c:pt>
                <c:pt idx="889">
                  <c:v>43.90900000000061</c:v>
                </c:pt>
                <c:pt idx="890">
                  <c:v>43.909100000000613</c:v>
                </c:pt>
                <c:pt idx="891">
                  <c:v>43.909200000000617</c:v>
                </c:pt>
                <c:pt idx="892">
                  <c:v>43.90930000000062</c:v>
                </c:pt>
                <c:pt idx="893">
                  <c:v>43.909400000000623</c:v>
                </c:pt>
                <c:pt idx="894">
                  <c:v>43.909500000000627</c:v>
                </c:pt>
                <c:pt idx="895">
                  <c:v>43.90960000000063</c:v>
                </c:pt>
                <c:pt idx="896">
                  <c:v>43.909700000000633</c:v>
                </c:pt>
                <c:pt idx="897">
                  <c:v>43.909800000000637</c:v>
                </c:pt>
                <c:pt idx="898">
                  <c:v>43.90990000000064</c:v>
                </c:pt>
                <c:pt idx="899">
                  <c:v>43.910000000000643</c:v>
                </c:pt>
                <c:pt idx="900">
                  <c:v>43.910100000000647</c:v>
                </c:pt>
                <c:pt idx="901">
                  <c:v>43.91020000000065</c:v>
                </c:pt>
                <c:pt idx="902">
                  <c:v>43.910300000000653</c:v>
                </c:pt>
                <c:pt idx="903">
                  <c:v>43.910400000000656</c:v>
                </c:pt>
                <c:pt idx="904">
                  <c:v>43.91050000000066</c:v>
                </c:pt>
                <c:pt idx="905">
                  <c:v>43.910600000000663</c:v>
                </c:pt>
                <c:pt idx="906">
                  <c:v>43.910700000000666</c:v>
                </c:pt>
                <c:pt idx="907">
                  <c:v>43.91080000000067</c:v>
                </c:pt>
                <c:pt idx="908">
                  <c:v>43.910900000000673</c:v>
                </c:pt>
                <c:pt idx="909">
                  <c:v>43.911000000000676</c:v>
                </c:pt>
                <c:pt idx="910">
                  <c:v>43.91110000000068</c:v>
                </c:pt>
                <c:pt idx="911">
                  <c:v>43.911200000000683</c:v>
                </c:pt>
                <c:pt idx="912">
                  <c:v>43.911300000000686</c:v>
                </c:pt>
                <c:pt idx="913">
                  <c:v>43.91140000000069</c:v>
                </c:pt>
                <c:pt idx="914">
                  <c:v>43.911500000000693</c:v>
                </c:pt>
                <c:pt idx="915">
                  <c:v>43.911600000000696</c:v>
                </c:pt>
                <c:pt idx="916">
                  <c:v>43.9117000000007</c:v>
                </c:pt>
                <c:pt idx="917">
                  <c:v>43.911800000000703</c:v>
                </c:pt>
                <c:pt idx="918">
                  <c:v>43.911900000000706</c:v>
                </c:pt>
                <c:pt idx="919">
                  <c:v>43.91200000000071</c:v>
                </c:pt>
                <c:pt idx="920">
                  <c:v>43.912100000000713</c:v>
                </c:pt>
                <c:pt idx="921">
                  <c:v>43.912200000000716</c:v>
                </c:pt>
                <c:pt idx="922">
                  <c:v>43.91230000000072</c:v>
                </c:pt>
                <c:pt idx="923">
                  <c:v>43.912400000000723</c:v>
                </c:pt>
                <c:pt idx="924">
                  <c:v>43.912500000000726</c:v>
                </c:pt>
                <c:pt idx="925">
                  <c:v>43.912600000000729</c:v>
                </c:pt>
                <c:pt idx="926">
                  <c:v>43.912700000000733</c:v>
                </c:pt>
                <c:pt idx="927">
                  <c:v>43.912800000000736</c:v>
                </c:pt>
                <c:pt idx="928">
                  <c:v>43.912900000000739</c:v>
                </c:pt>
                <c:pt idx="929">
                  <c:v>43.913000000000743</c:v>
                </c:pt>
                <c:pt idx="930">
                  <c:v>43.913100000000746</c:v>
                </c:pt>
                <c:pt idx="931">
                  <c:v>43.913200000000749</c:v>
                </c:pt>
                <c:pt idx="932">
                  <c:v>43.913300000000753</c:v>
                </c:pt>
                <c:pt idx="933">
                  <c:v>43.913400000000756</c:v>
                </c:pt>
                <c:pt idx="934">
                  <c:v>43.913500000000759</c:v>
                </c:pt>
                <c:pt idx="935">
                  <c:v>43.913600000000763</c:v>
                </c:pt>
                <c:pt idx="936">
                  <c:v>43.913700000000766</c:v>
                </c:pt>
                <c:pt idx="937">
                  <c:v>43.913800000000769</c:v>
                </c:pt>
                <c:pt idx="938">
                  <c:v>43.913900000000773</c:v>
                </c:pt>
                <c:pt idx="939">
                  <c:v>43.914000000000776</c:v>
                </c:pt>
                <c:pt idx="940">
                  <c:v>43.914100000000779</c:v>
                </c:pt>
                <c:pt idx="941">
                  <c:v>43.914200000000783</c:v>
                </c:pt>
                <c:pt idx="942">
                  <c:v>43.914300000000786</c:v>
                </c:pt>
                <c:pt idx="943">
                  <c:v>43.914400000000789</c:v>
                </c:pt>
                <c:pt idx="944">
                  <c:v>43.914500000000793</c:v>
                </c:pt>
                <c:pt idx="945">
                  <c:v>43.914600000000796</c:v>
                </c:pt>
                <c:pt idx="946">
                  <c:v>43.914700000000799</c:v>
                </c:pt>
                <c:pt idx="947">
                  <c:v>43.914800000000803</c:v>
                </c:pt>
                <c:pt idx="948">
                  <c:v>43.914900000000806</c:v>
                </c:pt>
                <c:pt idx="949">
                  <c:v>43.915000000000809</c:v>
                </c:pt>
                <c:pt idx="950">
                  <c:v>43.915100000000812</c:v>
                </c:pt>
                <c:pt idx="951">
                  <c:v>43.915200000000816</c:v>
                </c:pt>
                <c:pt idx="952">
                  <c:v>43.915300000000819</c:v>
                </c:pt>
                <c:pt idx="953">
                  <c:v>43.915400000000822</c:v>
                </c:pt>
                <c:pt idx="954">
                  <c:v>43.915500000000826</c:v>
                </c:pt>
                <c:pt idx="955">
                  <c:v>43.915600000000829</c:v>
                </c:pt>
                <c:pt idx="956">
                  <c:v>43.915700000000832</c:v>
                </c:pt>
                <c:pt idx="957">
                  <c:v>43.915800000000836</c:v>
                </c:pt>
                <c:pt idx="958">
                  <c:v>43.915900000000839</c:v>
                </c:pt>
                <c:pt idx="959">
                  <c:v>43.916000000000842</c:v>
                </c:pt>
                <c:pt idx="960">
                  <c:v>43.916100000000846</c:v>
                </c:pt>
                <c:pt idx="961">
                  <c:v>43.916200000000849</c:v>
                </c:pt>
                <c:pt idx="962">
                  <c:v>43.916300000000852</c:v>
                </c:pt>
                <c:pt idx="963">
                  <c:v>43.916400000000856</c:v>
                </c:pt>
                <c:pt idx="964">
                  <c:v>43.916500000000859</c:v>
                </c:pt>
                <c:pt idx="965">
                  <c:v>43.916600000000862</c:v>
                </c:pt>
                <c:pt idx="966">
                  <c:v>43.916700000000866</c:v>
                </c:pt>
                <c:pt idx="967">
                  <c:v>43.916800000000869</c:v>
                </c:pt>
                <c:pt idx="968">
                  <c:v>43.916900000000872</c:v>
                </c:pt>
                <c:pt idx="969">
                  <c:v>43.917000000000876</c:v>
                </c:pt>
                <c:pt idx="970">
                  <c:v>43.917100000000879</c:v>
                </c:pt>
                <c:pt idx="971">
                  <c:v>43.917200000000882</c:v>
                </c:pt>
                <c:pt idx="972">
                  <c:v>43.917300000000886</c:v>
                </c:pt>
                <c:pt idx="973">
                  <c:v>43.917400000000889</c:v>
                </c:pt>
                <c:pt idx="974">
                  <c:v>43.917500000000892</c:v>
                </c:pt>
                <c:pt idx="975">
                  <c:v>43.917600000000895</c:v>
                </c:pt>
                <c:pt idx="976">
                  <c:v>43.917700000000899</c:v>
                </c:pt>
                <c:pt idx="977">
                  <c:v>43.917800000000902</c:v>
                </c:pt>
                <c:pt idx="978">
                  <c:v>43.917900000000905</c:v>
                </c:pt>
                <c:pt idx="979">
                  <c:v>43.918000000000909</c:v>
                </c:pt>
                <c:pt idx="980">
                  <c:v>43.918100000000912</c:v>
                </c:pt>
                <c:pt idx="981">
                  <c:v>43.918200000000915</c:v>
                </c:pt>
                <c:pt idx="982">
                  <c:v>43.918300000000919</c:v>
                </c:pt>
                <c:pt idx="983">
                  <c:v>43.918400000000922</c:v>
                </c:pt>
                <c:pt idx="984">
                  <c:v>43.918500000000925</c:v>
                </c:pt>
                <c:pt idx="985">
                  <c:v>43.918600000000929</c:v>
                </c:pt>
                <c:pt idx="986">
                  <c:v>43.918700000000932</c:v>
                </c:pt>
                <c:pt idx="987">
                  <c:v>43.918800000000935</c:v>
                </c:pt>
                <c:pt idx="988">
                  <c:v>43.918900000000939</c:v>
                </c:pt>
                <c:pt idx="989">
                  <c:v>43.919000000000942</c:v>
                </c:pt>
                <c:pt idx="990">
                  <c:v>43.919100000000945</c:v>
                </c:pt>
                <c:pt idx="991">
                  <c:v>43.919200000000949</c:v>
                </c:pt>
                <c:pt idx="992">
                  <c:v>43.919300000000952</c:v>
                </c:pt>
                <c:pt idx="993">
                  <c:v>43.919400000000955</c:v>
                </c:pt>
                <c:pt idx="994">
                  <c:v>43.919500000000959</c:v>
                </c:pt>
                <c:pt idx="995">
                  <c:v>43.919600000000962</c:v>
                </c:pt>
                <c:pt idx="996">
                  <c:v>43.919700000000965</c:v>
                </c:pt>
                <c:pt idx="997">
                  <c:v>43.919800000000969</c:v>
                </c:pt>
                <c:pt idx="998">
                  <c:v>43.919900000000972</c:v>
                </c:pt>
                <c:pt idx="999">
                  <c:v>43.920000000000975</c:v>
                </c:pt>
                <c:pt idx="1000">
                  <c:v>43.920100000000978</c:v>
                </c:pt>
              </c:numCache>
            </c:numRef>
          </c:xVal>
          <c:yVal>
            <c:numRef>
              <c:f>Calculs!$T$4:$T$1004</c:f>
              <c:numCache>
                <c:formatCode>0.00</c:formatCode>
                <c:ptCount val="1001"/>
                <c:pt idx="0">
                  <c:v>59.11506</c:v>
                </c:pt>
                <c:pt idx="1">
                  <c:v>59.11066359853185</c:v>
                </c:pt>
                <c:pt idx="2">
                  <c:v>59.097474394127389</c:v>
                </c:pt>
                <c:pt idx="3">
                  <c:v>59.075492386786628</c:v>
                </c:pt>
                <c:pt idx="4">
                  <c:v>59.044717576509562</c:v>
                </c:pt>
                <c:pt idx="5">
                  <c:v>59.005149963296198</c:v>
                </c:pt>
                <c:pt idx="6">
                  <c:v>58.961237915535108</c:v>
                </c:pt>
                <c:pt idx="7">
                  <c:v>58.917429801614865</c:v>
                </c:pt>
                <c:pt idx="8">
                  <c:v>58.873725621535485</c:v>
                </c:pt>
                <c:pt idx="9">
                  <c:v>58.830125375296959</c:v>
                </c:pt>
                <c:pt idx="10">
                  <c:v>58.78662906289928</c:v>
                </c:pt>
                <c:pt idx="11">
                  <c:v>58.743236684342463</c:v>
                </c:pt>
                <c:pt idx="12">
                  <c:v>58.699948239626494</c:v>
                </c:pt>
                <c:pt idx="13">
                  <c:v>58.656763728751386</c:v>
                </c:pt>
                <c:pt idx="14">
                  <c:v>58.613683151717126</c:v>
                </c:pt>
                <c:pt idx="15">
                  <c:v>58.570706508523735</c:v>
                </c:pt>
                <c:pt idx="16">
                  <c:v>58.527833799171184</c:v>
                </c:pt>
                <c:pt idx="17">
                  <c:v>58.485065023659494</c:v>
                </c:pt>
                <c:pt idx="18">
                  <c:v>58.442400181988653</c:v>
                </c:pt>
                <c:pt idx="19">
                  <c:v>58.399839274158673</c:v>
                </c:pt>
                <c:pt idx="20">
                  <c:v>58.357382300169547</c:v>
                </c:pt>
                <c:pt idx="21">
                  <c:v>58.315029260021277</c:v>
                </c:pt>
                <c:pt idx="22">
                  <c:v>58.27278015371386</c:v>
                </c:pt>
                <c:pt idx="23">
                  <c:v>58.230634981247299</c:v>
                </c:pt>
                <c:pt idx="24">
                  <c:v>58.188593742621585</c:v>
                </c:pt>
                <c:pt idx="25">
                  <c:v>58.146656437836732</c:v>
                </c:pt>
                <c:pt idx="26">
                  <c:v>58.104823066892735</c:v>
                </c:pt>
                <c:pt idx="27">
                  <c:v>58.063093629789591</c:v>
                </c:pt>
                <c:pt idx="28">
                  <c:v>58.021468126527303</c:v>
                </c:pt>
                <c:pt idx="29">
                  <c:v>57.979946557105862</c:v>
                </c:pt>
                <c:pt idx="30">
                  <c:v>57.938528921525283</c:v>
                </c:pt>
                <c:pt idx="31">
                  <c:v>57.897215219785551</c:v>
                </c:pt>
                <c:pt idx="32">
                  <c:v>57.856005451886681</c:v>
                </c:pt>
                <c:pt idx="33">
                  <c:v>57.814899617828665</c:v>
                </c:pt>
                <c:pt idx="34">
                  <c:v>57.773897717611504</c:v>
                </c:pt>
                <c:pt idx="35">
                  <c:v>57.732999751235198</c:v>
                </c:pt>
                <c:pt idx="36">
                  <c:v>57.692205718699746</c:v>
                </c:pt>
                <c:pt idx="37">
                  <c:v>57.651515620005149</c:v>
                </c:pt>
                <c:pt idx="38">
                  <c:v>57.6109294551514</c:v>
                </c:pt>
                <c:pt idx="39">
                  <c:v>57.570447224138519</c:v>
                </c:pt>
                <c:pt idx="40">
                  <c:v>57.530068926966479</c:v>
                </c:pt>
                <c:pt idx="41">
                  <c:v>57.4897945636353</c:v>
                </c:pt>
                <c:pt idx="42">
                  <c:v>57.449624134144976</c:v>
                </c:pt>
                <c:pt idx="43">
                  <c:v>57.4095576384955</c:v>
                </c:pt>
                <c:pt idx="44">
                  <c:v>57.369595076686885</c:v>
                </c:pt>
                <c:pt idx="45">
                  <c:v>57.329736448719125</c:v>
                </c:pt>
                <c:pt idx="46">
                  <c:v>57.289981754592226</c:v>
                </c:pt>
                <c:pt idx="47">
                  <c:v>57.250330994306168</c:v>
                </c:pt>
                <c:pt idx="48">
                  <c:v>57.210784167860972</c:v>
                </c:pt>
                <c:pt idx="49">
                  <c:v>57.17134127525663</c:v>
                </c:pt>
                <c:pt idx="50">
                  <c:v>57.132002316493143</c:v>
                </c:pt>
                <c:pt idx="51">
                  <c:v>57.0927443714235</c:v>
                </c:pt>
                <c:pt idx="52">
                  <c:v>57.05354451990069</c:v>
                </c:pt>
                <c:pt idx="53">
                  <c:v>57.014402761924721</c:v>
                </c:pt>
                <c:pt idx="54">
                  <c:v>56.975319097495586</c:v>
                </c:pt>
                <c:pt idx="55">
                  <c:v>56.936293526613284</c:v>
                </c:pt>
                <c:pt idx="56">
                  <c:v>56.897326049277822</c:v>
                </c:pt>
                <c:pt idx="57">
                  <c:v>56.858416665489187</c:v>
                </c:pt>
                <c:pt idx="58">
                  <c:v>56.8195653752474</c:v>
                </c:pt>
                <c:pt idx="59">
                  <c:v>56.780772178552439</c:v>
                </c:pt>
                <c:pt idx="60">
                  <c:v>56.742037075404319</c:v>
                </c:pt>
                <c:pt idx="61">
                  <c:v>56.703360065803032</c:v>
                </c:pt>
                <c:pt idx="62">
                  <c:v>56.664741149748586</c:v>
                </c:pt>
                <c:pt idx="63">
                  <c:v>56.626180327240974</c:v>
                </c:pt>
                <c:pt idx="64">
                  <c:v>56.587677598280187</c:v>
                </c:pt>
                <c:pt idx="65">
                  <c:v>56.549232962866249</c:v>
                </c:pt>
                <c:pt idx="66">
                  <c:v>56.510846420999137</c:v>
                </c:pt>
                <c:pt idx="67">
                  <c:v>56.472517972678865</c:v>
                </c:pt>
                <c:pt idx="68">
                  <c:v>56.434247617905427</c:v>
                </c:pt>
                <c:pt idx="69">
                  <c:v>56.39603535667883</c:v>
                </c:pt>
                <c:pt idx="70">
                  <c:v>56.357881188999059</c:v>
                </c:pt>
                <c:pt idx="71">
                  <c:v>56.319785114866129</c:v>
                </c:pt>
                <c:pt idx="72">
                  <c:v>56.281747134280032</c:v>
                </c:pt>
                <c:pt idx="73">
                  <c:v>56.243767247240768</c:v>
                </c:pt>
                <c:pt idx="74">
                  <c:v>56.205845453748353</c:v>
                </c:pt>
                <c:pt idx="75">
                  <c:v>56.167981753802763</c:v>
                </c:pt>
                <c:pt idx="76">
                  <c:v>56.130176147404008</c:v>
                </c:pt>
                <c:pt idx="77">
                  <c:v>56.092428634552093</c:v>
                </c:pt>
                <c:pt idx="78">
                  <c:v>56.054739215247018</c:v>
                </c:pt>
                <c:pt idx="79">
                  <c:v>56.01710788948877</c:v>
                </c:pt>
                <c:pt idx="80">
                  <c:v>55.979534657277355</c:v>
                </c:pt>
                <c:pt idx="81">
                  <c:v>55.942019518612781</c:v>
                </c:pt>
                <c:pt idx="82">
                  <c:v>55.904562473495041</c:v>
                </c:pt>
                <c:pt idx="83">
                  <c:v>55.867163521924141</c:v>
                </c:pt>
                <c:pt idx="84">
                  <c:v>55.829822663900075</c:v>
                </c:pt>
                <c:pt idx="85">
                  <c:v>55.792539899422842</c:v>
                </c:pt>
                <c:pt idx="86">
                  <c:v>55.755315228492449</c:v>
                </c:pt>
                <c:pt idx="87">
                  <c:v>55.718148651108883</c:v>
                </c:pt>
                <c:pt idx="88">
                  <c:v>55.681040167272158</c:v>
                </c:pt>
                <c:pt idx="89">
                  <c:v>55.643989776982266</c:v>
                </c:pt>
                <c:pt idx="90">
                  <c:v>55.606997480239215</c:v>
                </c:pt>
                <c:pt idx="91">
                  <c:v>55.570063277042991</c:v>
                </c:pt>
                <c:pt idx="92">
                  <c:v>55.533187167393613</c:v>
                </c:pt>
                <c:pt idx="93">
                  <c:v>55.496369151291063</c:v>
                </c:pt>
                <c:pt idx="94">
                  <c:v>55.45960922873536</c:v>
                </c:pt>
                <c:pt idx="95">
                  <c:v>55.422907399726483</c:v>
                </c:pt>
                <c:pt idx="96">
                  <c:v>55.38626366426444</c:v>
                </c:pt>
                <c:pt idx="97">
                  <c:v>55.349678022349231</c:v>
                </c:pt>
                <c:pt idx="98">
                  <c:v>55.313150473980862</c:v>
                </c:pt>
                <c:pt idx="99">
                  <c:v>55.276681019159334</c:v>
                </c:pt>
                <c:pt idx="100">
                  <c:v>55.240269657884632</c:v>
                </c:pt>
                <c:pt idx="101">
                  <c:v>55.20392672883883</c:v>
                </c:pt>
                <c:pt idx="102">
                  <c:v>55.167662570703996</c:v>
                </c:pt>
                <c:pt idx="103">
                  <c:v>55.131477183480129</c:v>
                </c:pt>
                <c:pt idx="104">
                  <c:v>55.095370567167222</c:v>
                </c:pt>
                <c:pt idx="105">
                  <c:v>55.059342721765283</c:v>
                </c:pt>
                <c:pt idx="106">
                  <c:v>55.023393647274304</c:v>
                </c:pt>
                <c:pt idx="107">
                  <c:v>54.987523343694285</c:v>
                </c:pt>
                <c:pt idx="108">
                  <c:v>54.951731811025233</c:v>
                </c:pt>
                <c:pt idx="109">
                  <c:v>54.916019049267142</c:v>
                </c:pt>
                <c:pt idx="110">
                  <c:v>54.880385058420011</c:v>
                </c:pt>
                <c:pt idx="111">
                  <c:v>54.844829838483847</c:v>
                </c:pt>
                <c:pt idx="112">
                  <c:v>54.809353389458643</c:v>
                </c:pt>
                <c:pt idx="113">
                  <c:v>54.773955711344406</c:v>
                </c:pt>
                <c:pt idx="114">
                  <c:v>54.738636804141137</c:v>
                </c:pt>
                <c:pt idx="115">
                  <c:v>54.703396667848828</c:v>
                </c:pt>
                <c:pt idx="116">
                  <c:v>54.668235302467487</c:v>
                </c:pt>
                <c:pt idx="117">
                  <c:v>54.633152707997105</c:v>
                </c:pt>
                <c:pt idx="118">
                  <c:v>54.598148884437684</c:v>
                </c:pt>
                <c:pt idx="119">
                  <c:v>54.56322383178923</c:v>
                </c:pt>
                <c:pt idx="120">
                  <c:v>54.528377550051744</c:v>
                </c:pt>
                <c:pt idx="121">
                  <c:v>54.49361003922521</c:v>
                </c:pt>
                <c:pt idx="122">
                  <c:v>54.458921299309644</c:v>
                </c:pt>
                <c:pt idx="123">
                  <c:v>54.424311330305038</c:v>
                </c:pt>
                <c:pt idx="124">
                  <c:v>54.389780132211399</c:v>
                </c:pt>
                <c:pt idx="125">
                  <c:v>54.355327705028728</c:v>
                </c:pt>
                <c:pt idx="126">
                  <c:v>54.320954048757024</c:v>
                </c:pt>
                <c:pt idx="127">
                  <c:v>54.28665916339628</c:v>
                </c:pt>
                <c:pt idx="128">
                  <c:v>54.252443048946496</c:v>
                </c:pt>
                <c:pt idx="129">
                  <c:v>54.21830570540768</c:v>
                </c:pt>
                <c:pt idx="130">
                  <c:v>54.184247132779824</c:v>
                </c:pt>
                <c:pt idx="131">
                  <c:v>54.150267331062935</c:v>
                </c:pt>
                <c:pt idx="132">
                  <c:v>54.116366300256999</c:v>
                </c:pt>
                <c:pt idx="133">
                  <c:v>54.082544040362038</c:v>
                </c:pt>
                <c:pt idx="134">
                  <c:v>54.048800551378029</c:v>
                </c:pt>
                <c:pt idx="135">
                  <c:v>54.015135833304988</c:v>
                </c:pt>
                <c:pt idx="136">
                  <c:v>53.981549886142908</c:v>
                </c:pt>
                <c:pt idx="137">
                  <c:v>53.948042709891801</c:v>
                </c:pt>
                <c:pt idx="138">
                  <c:v>53.914614304551655</c:v>
                </c:pt>
                <c:pt idx="139">
                  <c:v>53.881264670122476</c:v>
                </c:pt>
                <c:pt idx="140">
                  <c:v>53.847993806604258</c:v>
                </c:pt>
                <c:pt idx="141">
                  <c:v>53.814801713996999</c:v>
                </c:pt>
                <c:pt idx="142">
                  <c:v>53.781688392300708</c:v>
                </c:pt>
                <c:pt idx="143">
                  <c:v>53.748653841515377</c:v>
                </c:pt>
                <c:pt idx="144">
                  <c:v>53.715698061641007</c:v>
                </c:pt>
                <c:pt idx="145">
                  <c:v>53.682821052677603</c:v>
                </c:pt>
                <c:pt idx="146">
                  <c:v>53.65002281462516</c:v>
                </c:pt>
                <c:pt idx="147">
                  <c:v>53.617303347483684</c:v>
                </c:pt>
                <c:pt idx="148">
                  <c:v>53.584662651253176</c:v>
                </c:pt>
                <c:pt idx="149">
                  <c:v>53.552100725933627</c:v>
                </c:pt>
                <c:pt idx="150">
                  <c:v>53.519617571525046</c:v>
                </c:pt>
                <c:pt idx="151">
                  <c:v>53.487209741800072</c:v>
                </c:pt>
                <c:pt idx="152">
                  <c:v>53.454873790531352</c:v>
                </c:pt>
                <c:pt idx="153">
                  <c:v>53.422609717718878</c:v>
                </c:pt>
                <c:pt idx="154">
                  <c:v>53.390417523362657</c:v>
                </c:pt>
                <c:pt idx="155">
                  <c:v>53.358297207462705</c:v>
                </c:pt>
                <c:pt idx="156">
                  <c:v>53.326248770018999</c:v>
                </c:pt>
                <c:pt idx="157">
                  <c:v>53.294272211031547</c:v>
                </c:pt>
                <c:pt idx="158">
                  <c:v>53.262367530500349</c:v>
                </c:pt>
                <c:pt idx="159">
                  <c:v>53.230534728425404</c:v>
                </c:pt>
                <c:pt idx="160">
                  <c:v>53.19877380480672</c:v>
                </c:pt>
                <c:pt idx="161">
                  <c:v>53.167084759644283</c:v>
                </c:pt>
                <c:pt idx="162">
                  <c:v>53.135467592938106</c:v>
                </c:pt>
                <c:pt idx="163">
                  <c:v>53.103922304688176</c:v>
                </c:pt>
                <c:pt idx="164">
                  <c:v>53.072448894894499</c:v>
                </c:pt>
                <c:pt idx="165">
                  <c:v>53.041047363557084</c:v>
                </c:pt>
                <c:pt idx="166">
                  <c:v>53.009717710675922</c:v>
                </c:pt>
                <c:pt idx="167">
                  <c:v>52.978459936251014</c:v>
                </c:pt>
                <c:pt idx="168">
                  <c:v>52.947274040282359</c:v>
                </c:pt>
                <c:pt idx="169">
                  <c:v>52.916160022769951</c:v>
                </c:pt>
                <c:pt idx="170">
                  <c:v>52.885117883713811</c:v>
                </c:pt>
                <c:pt idx="171">
                  <c:v>52.854147623113917</c:v>
                </c:pt>
                <c:pt idx="172">
                  <c:v>52.823249240970277</c:v>
                </c:pt>
                <c:pt idx="173">
                  <c:v>52.792422737282891</c:v>
                </c:pt>
                <c:pt idx="174">
                  <c:v>52.761668112051765</c:v>
                </c:pt>
                <c:pt idx="175">
                  <c:v>52.730985365276894</c:v>
                </c:pt>
                <c:pt idx="176">
                  <c:v>52.700374496958275</c:v>
                </c:pt>
                <c:pt idx="177">
                  <c:v>52.669835507095904</c:v>
                </c:pt>
                <c:pt idx="178">
                  <c:v>52.639368395689793</c:v>
                </c:pt>
                <c:pt idx="179">
                  <c:v>52.608973162739936</c:v>
                </c:pt>
                <c:pt idx="180">
                  <c:v>52.578649808246332</c:v>
                </c:pt>
                <c:pt idx="181">
                  <c:v>52.548398332208983</c:v>
                </c:pt>
                <c:pt idx="182">
                  <c:v>52.518218734627887</c:v>
                </c:pt>
                <c:pt idx="183">
                  <c:v>52.488111015503044</c:v>
                </c:pt>
                <c:pt idx="184">
                  <c:v>52.458075174834462</c:v>
                </c:pt>
                <c:pt idx="185">
                  <c:v>52.428111212622127</c:v>
                </c:pt>
                <c:pt idx="186">
                  <c:v>52.398219128866053</c:v>
                </c:pt>
                <c:pt idx="187">
                  <c:v>52.368398923566225</c:v>
                </c:pt>
                <c:pt idx="188">
                  <c:v>52.338650596722651</c:v>
                </c:pt>
                <c:pt idx="189">
                  <c:v>52.308974148335338</c:v>
                </c:pt>
                <c:pt idx="190">
                  <c:v>52.279369578404278</c:v>
                </c:pt>
                <c:pt idx="191">
                  <c:v>52.249836886929472</c:v>
                </c:pt>
                <c:pt idx="192">
                  <c:v>52.22037607391092</c:v>
                </c:pt>
                <c:pt idx="193">
                  <c:v>52.190987139348614</c:v>
                </c:pt>
                <c:pt idx="194">
                  <c:v>52.161670083242569</c:v>
                </c:pt>
                <c:pt idx="195">
                  <c:v>52.132424905592785</c:v>
                </c:pt>
                <c:pt idx="196">
                  <c:v>52.103251606399247</c:v>
                </c:pt>
                <c:pt idx="197">
                  <c:v>52.074150185661964</c:v>
                </c:pt>
                <c:pt idx="198">
                  <c:v>52.045120643380933</c:v>
                </c:pt>
                <c:pt idx="199">
                  <c:v>52.016162979556164</c:v>
                </c:pt>
                <c:pt idx="200">
                  <c:v>51.987277194187641</c:v>
                </c:pt>
                <c:pt idx="201">
                  <c:v>51.958463287275379</c:v>
                </c:pt>
                <c:pt idx="202">
                  <c:v>51.929721258819363</c:v>
                </c:pt>
                <c:pt idx="203">
                  <c:v>51.901051108819601</c:v>
                </c:pt>
                <c:pt idx="204">
                  <c:v>51.872452837276107</c:v>
                </c:pt>
                <c:pt idx="205">
                  <c:v>51.84392644418886</c:v>
                </c:pt>
                <c:pt idx="206">
                  <c:v>51.815471929557866</c:v>
                </c:pt>
                <c:pt idx="207">
                  <c:v>51.787089293383119</c:v>
                </c:pt>
                <c:pt idx="208">
                  <c:v>51.758778535664632</c:v>
                </c:pt>
                <c:pt idx="209">
                  <c:v>51.730539656402399</c:v>
                </c:pt>
                <c:pt idx="210">
                  <c:v>51.702372655596427</c:v>
                </c:pt>
                <c:pt idx="211">
                  <c:v>51.674277533246702</c:v>
                </c:pt>
                <c:pt idx="212">
                  <c:v>51.64625428935323</c:v>
                </c:pt>
                <c:pt idx="213">
                  <c:v>51.618302923916012</c:v>
                </c:pt>
                <c:pt idx="214">
                  <c:v>51.590423436935055</c:v>
                </c:pt>
                <c:pt idx="215">
                  <c:v>51.562615828410351</c:v>
                </c:pt>
                <c:pt idx="216">
                  <c:v>51.534880098341894</c:v>
                </c:pt>
                <c:pt idx="217">
                  <c:v>51.507216246729698</c:v>
                </c:pt>
                <c:pt idx="218">
                  <c:v>51.479624273573748</c:v>
                </c:pt>
                <c:pt idx="219">
                  <c:v>51.452104178874059</c:v>
                </c:pt>
                <c:pt idx="220">
                  <c:v>51.424655962630631</c:v>
                </c:pt>
                <c:pt idx="221">
                  <c:v>51.397279624843449</c:v>
                </c:pt>
                <c:pt idx="222">
                  <c:v>51.369975165512514</c:v>
                </c:pt>
                <c:pt idx="223">
                  <c:v>51.34274258463784</c:v>
                </c:pt>
                <c:pt idx="224">
                  <c:v>51.315581882219426</c:v>
                </c:pt>
                <c:pt idx="225">
                  <c:v>51.288493058257259</c:v>
                </c:pt>
                <c:pt idx="226">
                  <c:v>51.261476112751353</c:v>
                </c:pt>
                <c:pt idx="227">
                  <c:v>51.234531045701694</c:v>
                </c:pt>
                <c:pt idx="228">
                  <c:v>51.207657857108288</c:v>
                </c:pt>
                <c:pt idx="229">
                  <c:v>51.180856546971143</c:v>
                </c:pt>
                <c:pt idx="230">
                  <c:v>51.154127115290251</c:v>
                </c:pt>
                <c:pt idx="231">
                  <c:v>51.127469562065606</c:v>
                </c:pt>
                <c:pt idx="232">
                  <c:v>51.100883887297222</c:v>
                </c:pt>
                <c:pt idx="233">
                  <c:v>51.074370090985092</c:v>
                </c:pt>
                <c:pt idx="234">
                  <c:v>51.047928173129222</c:v>
                </c:pt>
                <c:pt idx="235">
                  <c:v>51.021558133729599</c:v>
                </c:pt>
                <c:pt idx="236">
                  <c:v>50.995259972786229</c:v>
                </c:pt>
                <c:pt idx="237">
                  <c:v>50.969033690299113</c:v>
                </c:pt>
                <c:pt idx="238">
                  <c:v>50.942879286268258</c:v>
                </c:pt>
                <c:pt idx="239">
                  <c:v>50.916796760693657</c:v>
                </c:pt>
                <c:pt idx="240">
                  <c:v>50.890786113575302</c:v>
                </c:pt>
                <c:pt idx="241">
                  <c:v>50.864847344913208</c:v>
                </c:pt>
                <c:pt idx="242">
                  <c:v>50.838980454707361</c:v>
                </c:pt>
                <c:pt idx="243">
                  <c:v>50.813185442957774</c:v>
                </c:pt>
                <c:pt idx="244">
                  <c:v>50.787462309664441</c:v>
                </c:pt>
                <c:pt idx="245">
                  <c:v>50.761811054827362</c:v>
                </c:pt>
                <c:pt idx="246">
                  <c:v>50.736231678446536</c:v>
                </c:pt>
                <c:pt idx="247">
                  <c:v>50.710724180521964</c:v>
                </c:pt>
                <c:pt idx="248">
                  <c:v>50.685288561053653</c:v>
                </c:pt>
                <c:pt idx="249">
                  <c:v>50.659924820041589</c:v>
                </c:pt>
                <c:pt idx="250">
                  <c:v>50.634632957485778</c:v>
                </c:pt>
                <c:pt idx="251">
                  <c:v>50.609427313462966</c:v>
                </c:pt>
                <c:pt idx="252">
                  <c:v>50.584322228049899</c:v>
                </c:pt>
                <c:pt idx="253">
                  <c:v>50.55931770124657</c:v>
                </c:pt>
                <c:pt idx="254">
                  <c:v>50.534413733052979</c:v>
                </c:pt>
                <c:pt idx="255">
                  <c:v>50.509610323469133</c:v>
                </c:pt>
                <c:pt idx="256">
                  <c:v>50.484907472495024</c:v>
                </c:pt>
                <c:pt idx="257">
                  <c:v>50.460305180130661</c:v>
                </c:pt>
                <c:pt idx="258">
                  <c:v>50.435803446376042</c:v>
                </c:pt>
                <c:pt idx="259">
                  <c:v>50.411402271231161</c:v>
                </c:pt>
                <c:pt idx="260">
                  <c:v>50.387101654696018</c:v>
                </c:pt>
                <c:pt idx="261">
                  <c:v>50.362901596770605</c:v>
                </c:pt>
                <c:pt idx="262">
                  <c:v>50.338802097454938</c:v>
                </c:pt>
                <c:pt idx="263">
                  <c:v>50.314803156749015</c:v>
                </c:pt>
                <c:pt idx="264">
                  <c:v>50.29090477465283</c:v>
                </c:pt>
                <c:pt idx="265">
                  <c:v>50.267106951166383</c:v>
                </c:pt>
                <c:pt idx="266">
                  <c:v>50.243409686289681</c:v>
                </c:pt>
                <c:pt idx="267">
                  <c:v>50.219812980022724</c:v>
                </c:pt>
                <c:pt idx="268">
                  <c:v>50.196316832365504</c:v>
                </c:pt>
                <c:pt idx="269">
                  <c:v>50.172921243318022</c:v>
                </c:pt>
                <c:pt idx="270">
                  <c:v>50.149626212880285</c:v>
                </c:pt>
                <c:pt idx="271">
                  <c:v>50.126431741052286</c:v>
                </c:pt>
                <c:pt idx="272">
                  <c:v>50.103337827834032</c:v>
                </c:pt>
                <c:pt idx="273">
                  <c:v>50.080344473225523</c:v>
                </c:pt>
                <c:pt idx="274">
                  <c:v>50.057451677226744</c:v>
                </c:pt>
                <c:pt idx="275">
                  <c:v>50.034659439837718</c:v>
                </c:pt>
                <c:pt idx="276">
                  <c:v>50.011967761058422</c:v>
                </c:pt>
                <c:pt idx="277">
                  <c:v>49.989376640888864</c:v>
                </c:pt>
                <c:pt idx="278">
                  <c:v>49.966886079329051</c:v>
                </c:pt>
                <c:pt idx="279">
                  <c:v>49.944496076378975</c:v>
                </c:pt>
                <c:pt idx="280">
                  <c:v>49.922206632038638</c:v>
                </c:pt>
                <c:pt idx="281">
                  <c:v>49.900017746308045</c:v>
                </c:pt>
                <c:pt idx="282">
                  <c:v>49.877929419187197</c:v>
                </c:pt>
                <c:pt idx="283">
                  <c:v>49.855941650676087</c:v>
                </c:pt>
                <c:pt idx="284">
                  <c:v>49.834054440774715</c:v>
                </c:pt>
                <c:pt idx="285">
                  <c:v>49.812267789483087</c:v>
                </c:pt>
                <c:pt idx="286">
                  <c:v>49.790581696801198</c:v>
                </c:pt>
                <c:pt idx="287">
                  <c:v>49.768996162729053</c:v>
                </c:pt>
                <c:pt idx="288">
                  <c:v>49.747511187266646</c:v>
                </c:pt>
                <c:pt idx="289">
                  <c:v>49.726126770413984</c:v>
                </c:pt>
                <c:pt idx="290">
                  <c:v>49.70484291217106</c:v>
                </c:pt>
                <c:pt idx="291">
                  <c:v>49.68365961253788</c:v>
                </c:pt>
                <c:pt idx="292">
                  <c:v>49.662576871514439</c:v>
                </c:pt>
                <c:pt idx="293">
                  <c:v>49.641594689100742</c:v>
                </c:pt>
                <c:pt idx="294">
                  <c:v>49.620713065296776</c:v>
                </c:pt>
                <c:pt idx="295">
                  <c:v>49.599932000102548</c:v>
                </c:pt>
                <c:pt idx="296">
                  <c:v>49.579251493518065</c:v>
                </c:pt>
                <c:pt idx="297">
                  <c:v>49.558671545543326</c:v>
                </c:pt>
                <c:pt idx="298">
                  <c:v>49.538347366206402</c:v>
                </c:pt>
                <c:pt idx="299">
                  <c:v>49.518434165535375</c:v>
                </c:pt>
                <c:pt idx="300">
                  <c:v>49.498931943530245</c:v>
                </c:pt>
                <c:pt idx="301">
                  <c:v>49.479840700191005</c:v>
                </c:pt>
                <c:pt idx="302">
                  <c:v>49.461160435517677</c:v>
                </c:pt>
                <c:pt idx="303">
                  <c:v>49.442891149510231</c:v>
                </c:pt>
                <c:pt idx="304">
                  <c:v>49.42503284216869</c:v>
                </c:pt>
                <c:pt idx="305">
                  <c:v>49.407585513493039</c:v>
                </c:pt>
                <c:pt idx="306">
                  <c:v>49.390549163483293</c:v>
                </c:pt>
                <c:pt idx="307">
                  <c:v>49.373923792139436</c:v>
                </c:pt>
                <c:pt idx="308">
                  <c:v>49.357709399461484</c:v>
                </c:pt>
                <c:pt idx="309">
                  <c:v>49.341905985449422</c:v>
                </c:pt>
                <c:pt idx="310">
                  <c:v>49.326513550103265</c:v>
                </c:pt>
                <c:pt idx="311">
                  <c:v>49.31153209342299</c:v>
                </c:pt>
                <c:pt idx="312">
                  <c:v>49.296961615408627</c:v>
                </c:pt>
                <c:pt idx="313">
                  <c:v>49.282802116060154</c:v>
                </c:pt>
                <c:pt idx="314">
                  <c:v>49.269053595377578</c:v>
                </c:pt>
                <c:pt idx="315">
                  <c:v>49.255716053360892</c:v>
                </c:pt>
                <c:pt idx="316">
                  <c:v>49.242789490010111</c:v>
                </c:pt>
                <c:pt idx="317">
                  <c:v>49.230273905325227</c:v>
                </c:pt>
                <c:pt idx="318">
                  <c:v>49.21816929930624</c:v>
                </c:pt>
                <c:pt idx="319">
                  <c:v>49.206475671953143</c:v>
                </c:pt>
                <c:pt idx="320">
                  <c:v>49.195193023265951</c:v>
                </c:pt>
                <c:pt idx="321">
                  <c:v>49.184259912568329</c:v>
                </c:pt>
                <c:pt idx="322">
                  <c:v>49.173614899183953</c:v>
                </c:pt>
                <c:pt idx="323">
                  <c:v>49.163257983112828</c:v>
                </c:pt>
                <c:pt idx="324">
                  <c:v>49.153189164354941</c:v>
                </c:pt>
                <c:pt idx="325">
                  <c:v>49.143408442910307</c:v>
                </c:pt>
                <c:pt idx="326">
                  <c:v>49.133915818778917</c:v>
                </c:pt>
                <c:pt idx="327">
                  <c:v>49.124711291960764</c:v>
                </c:pt>
                <c:pt idx="328">
                  <c:v>49.115794862455864</c:v>
                </c:pt>
                <c:pt idx="329">
                  <c:v>49.107166530264209</c:v>
                </c:pt>
                <c:pt idx="330">
                  <c:v>49.098826295385798</c:v>
                </c:pt>
                <c:pt idx="331">
                  <c:v>49.09077415782064</c:v>
                </c:pt>
                <c:pt idx="332">
                  <c:v>49.083010117568719</c:v>
                </c:pt>
                <c:pt idx="333">
                  <c:v>49.075534174630043</c:v>
                </c:pt>
                <c:pt idx="334">
                  <c:v>49.068346329004626</c:v>
                </c:pt>
                <c:pt idx="335">
                  <c:v>49.061446580692454</c:v>
                </c:pt>
                <c:pt idx="336">
                  <c:v>49.054834929693527</c:v>
                </c:pt>
                <c:pt idx="337">
                  <c:v>49.048511376007845</c:v>
                </c:pt>
                <c:pt idx="338">
                  <c:v>49.042475919635407</c:v>
                </c:pt>
                <c:pt idx="339">
                  <c:v>49.036728560576215</c:v>
                </c:pt>
                <c:pt idx="340">
                  <c:v>49.031269298830267</c:v>
                </c:pt>
                <c:pt idx="341">
                  <c:v>49.026098134397571</c:v>
                </c:pt>
                <c:pt idx="342">
                  <c:v>49.021215067278114</c:v>
                </c:pt>
                <c:pt idx="343">
                  <c:v>49.016620097471908</c:v>
                </c:pt>
                <c:pt idx="344">
                  <c:v>49.012313224978946</c:v>
                </c:pt>
                <c:pt idx="345">
                  <c:v>49.00829444979923</c:v>
                </c:pt>
                <c:pt idx="346">
                  <c:v>49.004563771932759</c:v>
                </c:pt>
                <c:pt idx="347">
                  <c:v>49.001121191379539</c:v>
                </c:pt>
                <c:pt idx="348">
                  <c:v>48.997960098311964</c:v>
                </c:pt>
                <c:pt idx="349">
                  <c:v>48.995073882902439</c:v>
                </c:pt>
                <c:pt idx="350">
                  <c:v>48.992462545150964</c:v>
                </c:pt>
                <c:pt idx="351">
                  <c:v>48.99012608505754</c:v>
                </c:pt>
                <c:pt idx="352">
                  <c:v>48.988064502622166</c:v>
                </c:pt>
                <c:pt idx="353">
                  <c:v>48.986277797844835</c:v>
                </c:pt>
                <c:pt idx="354">
                  <c:v>48.984765970725562</c:v>
                </c:pt>
                <c:pt idx="355">
                  <c:v>48.983529021264332</c:v>
                </c:pt>
                <c:pt idx="356">
                  <c:v>48.982566949461152</c:v>
                </c:pt>
                <c:pt idx="357">
                  <c:v>48.981879755316029</c:v>
                </c:pt>
                <c:pt idx="358">
                  <c:v>48.98146743882895</c:v>
                </c:pt>
                <c:pt idx="359">
                  <c:v>48.981329999999922</c:v>
                </c:pt>
                <c:pt idx="360">
                  <c:v>48.981329999999922</c:v>
                </c:pt>
                <c:pt idx="361">
                  <c:v>48.981329999999922</c:v>
                </c:pt>
                <c:pt idx="362">
                  <c:v>48.981329999999922</c:v>
                </c:pt>
                <c:pt idx="363">
                  <c:v>48.981329999999922</c:v>
                </c:pt>
                <c:pt idx="364">
                  <c:v>48.981329999999922</c:v>
                </c:pt>
                <c:pt idx="365">
                  <c:v>48.981329999999922</c:v>
                </c:pt>
                <c:pt idx="366">
                  <c:v>48.981329999999922</c:v>
                </c:pt>
                <c:pt idx="367">
                  <c:v>48.981329999999922</c:v>
                </c:pt>
                <c:pt idx="368">
                  <c:v>48.981329999999922</c:v>
                </c:pt>
                <c:pt idx="369">
                  <c:v>48.981329999999922</c:v>
                </c:pt>
                <c:pt idx="370">
                  <c:v>48.981329999999922</c:v>
                </c:pt>
                <c:pt idx="371">
                  <c:v>48.981329999999922</c:v>
                </c:pt>
                <c:pt idx="372">
                  <c:v>48.981329999999922</c:v>
                </c:pt>
                <c:pt idx="373">
                  <c:v>48.981329999999922</c:v>
                </c:pt>
                <c:pt idx="374">
                  <c:v>48.981329999999922</c:v>
                </c:pt>
                <c:pt idx="375">
                  <c:v>48.981329999999922</c:v>
                </c:pt>
                <c:pt idx="376">
                  <c:v>48.981329999999922</c:v>
                </c:pt>
                <c:pt idx="377">
                  <c:v>48.981329999999922</c:v>
                </c:pt>
                <c:pt idx="378">
                  <c:v>48.981329999999922</c:v>
                </c:pt>
                <c:pt idx="379">
                  <c:v>48.981329999999922</c:v>
                </c:pt>
                <c:pt idx="380">
                  <c:v>48.981329999999922</c:v>
                </c:pt>
                <c:pt idx="381">
                  <c:v>48.981329999999922</c:v>
                </c:pt>
                <c:pt idx="382">
                  <c:v>48.981329999999922</c:v>
                </c:pt>
                <c:pt idx="383">
                  <c:v>48.981329999999922</c:v>
                </c:pt>
                <c:pt idx="384">
                  <c:v>48.981329999999922</c:v>
                </c:pt>
                <c:pt idx="385">
                  <c:v>48.981329999999922</c:v>
                </c:pt>
                <c:pt idx="386">
                  <c:v>48.981329999999922</c:v>
                </c:pt>
                <c:pt idx="387">
                  <c:v>48.981329999999922</c:v>
                </c:pt>
                <c:pt idx="388">
                  <c:v>48.981329999999922</c:v>
                </c:pt>
                <c:pt idx="389">
                  <c:v>48.981329999999922</c:v>
                </c:pt>
                <c:pt idx="390">
                  <c:v>48.981329999999922</c:v>
                </c:pt>
                <c:pt idx="391">
                  <c:v>48.981329999999922</c:v>
                </c:pt>
                <c:pt idx="392">
                  <c:v>48.981329999999922</c:v>
                </c:pt>
                <c:pt idx="393">
                  <c:v>48.981329999999922</c:v>
                </c:pt>
                <c:pt idx="394">
                  <c:v>48.981329999999922</c:v>
                </c:pt>
                <c:pt idx="395">
                  <c:v>48.981329999999922</c:v>
                </c:pt>
                <c:pt idx="396">
                  <c:v>48.981329999999922</c:v>
                </c:pt>
                <c:pt idx="397">
                  <c:v>48.981329999999922</c:v>
                </c:pt>
                <c:pt idx="398">
                  <c:v>48.981329999999922</c:v>
                </c:pt>
                <c:pt idx="399">
                  <c:v>48.981329999999922</c:v>
                </c:pt>
                <c:pt idx="400">
                  <c:v>48.981329999999922</c:v>
                </c:pt>
                <c:pt idx="401">
                  <c:v>48.981329999999922</c:v>
                </c:pt>
                <c:pt idx="402">
                  <c:v>48.981329999999922</c:v>
                </c:pt>
                <c:pt idx="403">
                  <c:v>48.981329999999922</c:v>
                </c:pt>
                <c:pt idx="404">
                  <c:v>48.981329999999922</c:v>
                </c:pt>
                <c:pt idx="405">
                  <c:v>48.981329999999922</c:v>
                </c:pt>
                <c:pt idx="406">
                  <c:v>48.981329999999922</c:v>
                </c:pt>
                <c:pt idx="407">
                  <c:v>48.981329999999922</c:v>
                </c:pt>
                <c:pt idx="408">
                  <c:v>48.981329999999922</c:v>
                </c:pt>
                <c:pt idx="409">
                  <c:v>48.981329999999922</c:v>
                </c:pt>
                <c:pt idx="410">
                  <c:v>48.981329999999922</c:v>
                </c:pt>
                <c:pt idx="411">
                  <c:v>48.981329999999922</c:v>
                </c:pt>
                <c:pt idx="412">
                  <c:v>48.981329999999922</c:v>
                </c:pt>
                <c:pt idx="413">
                  <c:v>48.981329999999922</c:v>
                </c:pt>
                <c:pt idx="414">
                  <c:v>48.981329999999922</c:v>
                </c:pt>
                <c:pt idx="415">
                  <c:v>48.981329999999922</c:v>
                </c:pt>
                <c:pt idx="416">
                  <c:v>48.981329999999922</c:v>
                </c:pt>
                <c:pt idx="417">
                  <c:v>48.981329999999922</c:v>
                </c:pt>
                <c:pt idx="418">
                  <c:v>48.981329999999922</c:v>
                </c:pt>
                <c:pt idx="419">
                  <c:v>48.981329999999922</c:v>
                </c:pt>
                <c:pt idx="420">
                  <c:v>48.981329999999922</c:v>
                </c:pt>
                <c:pt idx="421">
                  <c:v>48.981329999999922</c:v>
                </c:pt>
                <c:pt idx="422">
                  <c:v>48.981329999999922</c:v>
                </c:pt>
                <c:pt idx="423">
                  <c:v>48.981329999999922</c:v>
                </c:pt>
                <c:pt idx="424">
                  <c:v>48.981329999999922</c:v>
                </c:pt>
                <c:pt idx="425">
                  <c:v>48.981329999999922</c:v>
                </c:pt>
                <c:pt idx="426">
                  <c:v>48.981329999999922</c:v>
                </c:pt>
                <c:pt idx="427">
                  <c:v>48.981329999999922</c:v>
                </c:pt>
                <c:pt idx="428">
                  <c:v>48.981329999999922</c:v>
                </c:pt>
                <c:pt idx="429">
                  <c:v>48.981329999999922</c:v>
                </c:pt>
                <c:pt idx="430">
                  <c:v>48.981329999999922</c:v>
                </c:pt>
                <c:pt idx="431">
                  <c:v>48.981329999999922</c:v>
                </c:pt>
                <c:pt idx="432">
                  <c:v>48.981329999999922</c:v>
                </c:pt>
                <c:pt idx="433">
                  <c:v>48.981329999999922</c:v>
                </c:pt>
                <c:pt idx="434">
                  <c:v>48.981329999999922</c:v>
                </c:pt>
                <c:pt idx="435">
                  <c:v>48.981329999999922</c:v>
                </c:pt>
                <c:pt idx="436">
                  <c:v>48.981329999999922</c:v>
                </c:pt>
                <c:pt idx="437">
                  <c:v>48.981329999999922</c:v>
                </c:pt>
                <c:pt idx="438">
                  <c:v>48.981329999999922</c:v>
                </c:pt>
                <c:pt idx="439">
                  <c:v>48.981329999999922</c:v>
                </c:pt>
                <c:pt idx="440">
                  <c:v>48.981329999999922</c:v>
                </c:pt>
                <c:pt idx="441">
                  <c:v>48.981329999999922</c:v>
                </c:pt>
                <c:pt idx="442">
                  <c:v>48.981329999999922</c:v>
                </c:pt>
                <c:pt idx="443">
                  <c:v>48.981329999999922</c:v>
                </c:pt>
                <c:pt idx="444">
                  <c:v>48.981329999999922</c:v>
                </c:pt>
                <c:pt idx="445">
                  <c:v>48.981329999999922</c:v>
                </c:pt>
                <c:pt idx="446">
                  <c:v>48.981329999999922</c:v>
                </c:pt>
                <c:pt idx="447">
                  <c:v>48.981329999999922</c:v>
                </c:pt>
                <c:pt idx="448">
                  <c:v>48.981329999999922</c:v>
                </c:pt>
                <c:pt idx="449">
                  <c:v>48.981329999999922</c:v>
                </c:pt>
                <c:pt idx="450">
                  <c:v>48.981329999999922</c:v>
                </c:pt>
                <c:pt idx="451">
                  <c:v>48.981329999999922</c:v>
                </c:pt>
                <c:pt idx="452">
                  <c:v>48.981329999999922</c:v>
                </c:pt>
                <c:pt idx="453">
                  <c:v>48.981329999999922</c:v>
                </c:pt>
                <c:pt idx="454">
                  <c:v>48.981329999999922</c:v>
                </c:pt>
                <c:pt idx="455">
                  <c:v>48.981329999999922</c:v>
                </c:pt>
                <c:pt idx="456">
                  <c:v>48.981329999999922</c:v>
                </c:pt>
                <c:pt idx="457">
                  <c:v>48.981329999999922</c:v>
                </c:pt>
                <c:pt idx="458">
                  <c:v>48.981329999999922</c:v>
                </c:pt>
                <c:pt idx="459">
                  <c:v>48.981329999999922</c:v>
                </c:pt>
                <c:pt idx="460">
                  <c:v>48.981329999999922</c:v>
                </c:pt>
                <c:pt idx="461">
                  <c:v>48.981329999999922</c:v>
                </c:pt>
                <c:pt idx="462">
                  <c:v>48.981329999999922</c:v>
                </c:pt>
                <c:pt idx="463">
                  <c:v>48.981329999999922</c:v>
                </c:pt>
                <c:pt idx="464">
                  <c:v>48.981329999999922</c:v>
                </c:pt>
                <c:pt idx="465">
                  <c:v>48.981329999999922</c:v>
                </c:pt>
                <c:pt idx="466">
                  <c:v>48.981329999999922</c:v>
                </c:pt>
                <c:pt idx="467">
                  <c:v>48.981329999999922</c:v>
                </c:pt>
                <c:pt idx="468">
                  <c:v>48.981329999999922</c:v>
                </c:pt>
                <c:pt idx="469">
                  <c:v>48.981329999999922</c:v>
                </c:pt>
                <c:pt idx="470">
                  <c:v>48.981329999999922</c:v>
                </c:pt>
                <c:pt idx="471">
                  <c:v>48.981329999999922</c:v>
                </c:pt>
                <c:pt idx="472">
                  <c:v>48.981329999999922</c:v>
                </c:pt>
                <c:pt idx="473">
                  <c:v>48.981329999999922</c:v>
                </c:pt>
                <c:pt idx="474">
                  <c:v>48.981329999999922</c:v>
                </c:pt>
                <c:pt idx="475">
                  <c:v>48.981329999999922</c:v>
                </c:pt>
                <c:pt idx="476">
                  <c:v>48.981329999999922</c:v>
                </c:pt>
                <c:pt idx="477">
                  <c:v>48.981329999999922</c:v>
                </c:pt>
                <c:pt idx="478">
                  <c:v>48.981329999999922</c:v>
                </c:pt>
                <c:pt idx="479">
                  <c:v>48.981329999999922</c:v>
                </c:pt>
                <c:pt idx="480">
                  <c:v>48.981329999999922</c:v>
                </c:pt>
                <c:pt idx="481">
                  <c:v>48.981329999999922</c:v>
                </c:pt>
                <c:pt idx="482">
                  <c:v>48.981329999999922</c:v>
                </c:pt>
                <c:pt idx="483">
                  <c:v>48.981329999999922</c:v>
                </c:pt>
                <c:pt idx="484">
                  <c:v>48.981329999999922</c:v>
                </c:pt>
                <c:pt idx="485">
                  <c:v>48.981329999999922</c:v>
                </c:pt>
                <c:pt idx="486">
                  <c:v>48.981329999999922</c:v>
                </c:pt>
                <c:pt idx="487">
                  <c:v>48.981329999999922</c:v>
                </c:pt>
                <c:pt idx="488">
                  <c:v>48.981329999999922</c:v>
                </c:pt>
                <c:pt idx="489">
                  <c:v>48.981329999999922</c:v>
                </c:pt>
                <c:pt idx="490">
                  <c:v>48.981329999999922</c:v>
                </c:pt>
                <c:pt idx="491">
                  <c:v>48.981329999999922</c:v>
                </c:pt>
                <c:pt idx="492">
                  <c:v>48.981329999999922</c:v>
                </c:pt>
                <c:pt idx="493">
                  <c:v>48.981329999999922</c:v>
                </c:pt>
                <c:pt idx="494">
                  <c:v>48.981329999999922</c:v>
                </c:pt>
                <c:pt idx="495">
                  <c:v>48.981329999999922</c:v>
                </c:pt>
                <c:pt idx="496">
                  <c:v>48.981329999999922</c:v>
                </c:pt>
                <c:pt idx="497">
                  <c:v>48.981329999999922</c:v>
                </c:pt>
                <c:pt idx="498">
                  <c:v>48.981329999999922</c:v>
                </c:pt>
                <c:pt idx="499">
                  <c:v>48.981329999999922</c:v>
                </c:pt>
                <c:pt idx="500">
                  <c:v>48.981329999999922</c:v>
                </c:pt>
                <c:pt idx="501">
                  <c:v>48.981329999999922</c:v>
                </c:pt>
                <c:pt idx="502">
                  <c:v>48.981329999999922</c:v>
                </c:pt>
                <c:pt idx="503">
                  <c:v>48.981329999999922</c:v>
                </c:pt>
                <c:pt idx="504">
                  <c:v>48.981329999999922</c:v>
                </c:pt>
                <c:pt idx="505">
                  <c:v>48.981329999999922</c:v>
                </c:pt>
                <c:pt idx="506">
                  <c:v>48.981329999999922</c:v>
                </c:pt>
                <c:pt idx="507">
                  <c:v>48.981329999999922</c:v>
                </c:pt>
                <c:pt idx="508">
                  <c:v>48.981329999999922</c:v>
                </c:pt>
                <c:pt idx="509">
                  <c:v>48.981329999999922</c:v>
                </c:pt>
                <c:pt idx="510">
                  <c:v>48.981329999999922</c:v>
                </c:pt>
                <c:pt idx="511">
                  <c:v>48.981329999999922</c:v>
                </c:pt>
                <c:pt idx="512">
                  <c:v>48.981329999999922</c:v>
                </c:pt>
                <c:pt idx="513">
                  <c:v>48.981329999999922</c:v>
                </c:pt>
                <c:pt idx="514">
                  <c:v>48.981329999999922</c:v>
                </c:pt>
                <c:pt idx="515">
                  <c:v>48.981329999999922</c:v>
                </c:pt>
                <c:pt idx="516">
                  <c:v>48.981329999999922</c:v>
                </c:pt>
                <c:pt idx="517">
                  <c:v>48.981329999999922</c:v>
                </c:pt>
                <c:pt idx="518">
                  <c:v>48.981329999999922</c:v>
                </c:pt>
                <c:pt idx="519">
                  <c:v>48.981329999999922</c:v>
                </c:pt>
                <c:pt idx="520">
                  <c:v>48.981329999999922</c:v>
                </c:pt>
                <c:pt idx="521">
                  <c:v>48.981329999999922</c:v>
                </c:pt>
                <c:pt idx="522">
                  <c:v>48.981329999999922</c:v>
                </c:pt>
                <c:pt idx="523">
                  <c:v>48.981329999999922</c:v>
                </c:pt>
                <c:pt idx="524">
                  <c:v>48.981329999999922</c:v>
                </c:pt>
                <c:pt idx="525">
                  <c:v>48.981329999999922</c:v>
                </c:pt>
                <c:pt idx="526">
                  <c:v>48.981329999999922</c:v>
                </c:pt>
                <c:pt idx="527">
                  <c:v>48.981329999999922</c:v>
                </c:pt>
                <c:pt idx="528">
                  <c:v>48.981329999999922</c:v>
                </c:pt>
                <c:pt idx="529">
                  <c:v>48.981329999999922</c:v>
                </c:pt>
                <c:pt idx="530">
                  <c:v>48.981329999999922</c:v>
                </c:pt>
                <c:pt idx="531">
                  <c:v>48.981329999999922</c:v>
                </c:pt>
                <c:pt idx="532">
                  <c:v>48.981329999999922</c:v>
                </c:pt>
                <c:pt idx="533">
                  <c:v>48.981329999999922</c:v>
                </c:pt>
                <c:pt idx="534">
                  <c:v>48.981329999999922</c:v>
                </c:pt>
                <c:pt idx="535">
                  <c:v>48.981329999999922</c:v>
                </c:pt>
                <c:pt idx="536">
                  <c:v>48.981329999999922</c:v>
                </c:pt>
                <c:pt idx="537">
                  <c:v>48.981329999999922</c:v>
                </c:pt>
                <c:pt idx="538">
                  <c:v>48.981329999999922</c:v>
                </c:pt>
                <c:pt idx="539">
                  <c:v>48.981329999999922</c:v>
                </c:pt>
                <c:pt idx="540">
                  <c:v>48.981329999999922</c:v>
                </c:pt>
                <c:pt idx="541">
                  <c:v>48.981329999999922</c:v>
                </c:pt>
                <c:pt idx="542">
                  <c:v>48.981329999999922</c:v>
                </c:pt>
                <c:pt idx="543">
                  <c:v>48.981329999999922</c:v>
                </c:pt>
                <c:pt idx="544">
                  <c:v>48.981329999999922</c:v>
                </c:pt>
                <c:pt idx="545">
                  <c:v>48.981329999999922</c:v>
                </c:pt>
                <c:pt idx="546">
                  <c:v>48.981329999999922</c:v>
                </c:pt>
                <c:pt idx="547">
                  <c:v>48.981329999999922</c:v>
                </c:pt>
                <c:pt idx="548">
                  <c:v>48.981329999999922</c:v>
                </c:pt>
                <c:pt idx="549">
                  <c:v>48.981329999999922</c:v>
                </c:pt>
                <c:pt idx="550">
                  <c:v>48.981329999999922</c:v>
                </c:pt>
                <c:pt idx="551">
                  <c:v>48.981329999999922</c:v>
                </c:pt>
                <c:pt idx="552">
                  <c:v>48.981329999999922</c:v>
                </c:pt>
                <c:pt idx="553">
                  <c:v>48.981329999999922</c:v>
                </c:pt>
                <c:pt idx="554">
                  <c:v>48.981329999999922</c:v>
                </c:pt>
                <c:pt idx="555">
                  <c:v>48.981329999999922</c:v>
                </c:pt>
                <c:pt idx="556">
                  <c:v>48.981329999999922</c:v>
                </c:pt>
                <c:pt idx="557">
                  <c:v>48.981329999999922</c:v>
                </c:pt>
                <c:pt idx="558">
                  <c:v>48.981329999999922</c:v>
                </c:pt>
                <c:pt idx="559">
                  <c:v>48.981329999999922</c:v>
                </c:pt>
                <c:pt idx="560">
                  <c:v>48.981329999999922</c:v>
                </c:pt>
                <c:pt idx="561">
                  <c:v>48.981329999999922</c:v>
                </c:pt>
                <c:pt idx="562">
                  <c:v>48.981329999999922</c:v>
                </c:pt>
                <c:pt idx="563">
                  <c:v>48.981329999999922</c:v>
                </c:pt>
                <c:pt idx="564">
                  <c:v>48.981329999999922</c:v>
                </c:pt>
                <c:pt idx="565">
                  <c:v>48.981329999999922</c:v>
                </c:pt>
                <c:pt idx="566">
                  <c:v>48.981329999999922</c:v>
                </c:pt>
                <c:pt idx="567">
                  <c:v>48.981329999999922</c:v>
                </c:pt>
                <c:pt idx="568">
                  <c:v>48.981329999999922</c:v>
                </c:pt>
                <c:pt idx="569">
                  <c:v>48.981329999999922</c:v>
                </c:pt>
                <c:pt idx="570">
                  <c:v>48.981329999999922</c:v>
                </c:pt>
                <c:pt idx="571">
                  <c:v>48.981329999999922</c:v>
                </c:pt>
                <c:pt idx="572">
                  <c:v>48.981329999999922</c:v>
                </c:pt>
                <c:pt idx="573">
                  <c:v>48.981329999999922</c:v>
                </c:pt>
                <c:pt idx="574">
                  <c:v>48.981329999999922</c:v>
                </c:pt>
                <c:pt idx="575">
                  <c:v>48.981329999999922</c:v>
                </c:pt>
                <c:pt idx="576">
                  <c:v>48.981329999999922</c:v>
                </c:pt>
                <c:pt idx="577">
                  <c:v>48.981329999999922</c:v>
                </c:pt>
                <c:pt idx="578">
                  <c:v>48.981329999999922</c:v>
                </c:pt>
                <c:pt idx="579">
                  <c:v>48.981329999999922</c:v>
                </c:pt>
                <c:pt idx="580">
                  <c:v>48.981329999999922</c:v>
                </c:pt>
                <c:pt idx="581">
                  <c:v>48.981329999999922</c:v>
                </c:pt>
                <c:pt idx="582">
                  <c:v>48.981329999999922</c:v>
                </c:pt>
                <c:pt idx="583">
                  <c:v>48.981329999999922</c:v>
                </c:pt>
                <c:pt idx="584">
                  <c:v>48.981329999999922</c:v>
                </c:pt>
                <c:pt idx="585">
                  <c:v>48.981329999999922</c:v>
                </c:pt>
                <c:pt idx="586">
                  <c:v>48.981329999999922</c:v>
                </c:pt>
                <c:pt idx="587">
                  <c:v>48.981329999999922</c:v>
                </c:pt>
                <c:pt idx="588">
                  <c:v>48.981329999999922</c:v>
                </c:pt>
                <c:pt idx="589">
                  <c:v>48.981329999999922</c:v>
                </c:pt>
                <c:pt idx="590">
                  <c:v>48.981329999999922</c:v>
                </c:pt>
                <c:pt idx="591">
                  <c:v>48.981329999999922</c:v>
                </c:pt>
                <c:pt idx="592">
                  <c:v>48.981329999999922</c:v>
                </c:pt>
                <c:pt idx="593">
                  <c:v>48.981329999999922</c:v>
                </c:pt>
                <c:pt idx="594">
                  <c:v>48.981329999999922</c:v>
                </c:pt>
                <c:pt idx="595">
                  <c:v>48.981329999999922</c:v>
                </c:pt>
                <c:pt idx="596">
                  <c:v>48.981329999999922</c:v>
                </c:pt>
                <c:pt idx="597">
                  <c:v>48.981329999999922</c:v>
                </c:pt>
                <c:pt idx="598">
                  <c:v>48.981329999999922</c:v>
                </c:pt>
                <c:pt idx="599">
                  <c:v>48.981329999999922</c:v>
                </c:pt>
                <c:pt idx="600">
                  <c:v>48.981329999999922</c:v>
                </c:pt>
                <c:pt idx="601">
                  <c:v>48.981329999999922</c:v>
                </c:pt>
                <c:pt idx="602">
                  <c:v>48.981329999999922</c:v>
                </c:pt>
                <c:pt idx="603">
                  <c:v>48.981329999999922</c:v>
                </c:pt>
                <c:pt idx="604">
                  <c:v>48.981329999999922</c:v>
                </c:pt>
                <c:pt idx="605">
                  <c:v>48.981329999999922</c:v>
                </c:pt>
                <c:pt idx="606">
                  <c:v>48.981329999999922</c:v>
                </c:pt>
                <c:pt idx="607">
                  <c:v>48.981329999999922</c:v>
                </c:pt>
                <c:pt idx="608">
                  <c:v>48.981329999999922</c:v>
                </c:pt>
                <c:pt idx="609">
                  <c:v>48.981329999999922</c:v>
                </c:pt>
                <c:pt idx="610">
                  <c:v>48.981329999999922</c:v>
                </c:pt>
                <c:pt idx="611">
                  <c:v>48.981329999999922</c:v>
                </c:pt>
                <c:pt idx="612">
                  <c:v>48.981329999999922</c:v>
                </c:pt>
                <c:pt idx="613">
                  <c:v>48.981329999999922</c:v>
                </c:pt>
                <c:pt idx="614">
                  <c:v>48.981329999999922</c:v>
                </c:pt>
                <c:pt idx="615">
                  <c:v>48.981329999999922</c:v>
                </c:pt>
                <c:pt idx="616">
                  <c:v>48.981329999999922</c:v>
                </c:pt>
                <c:pt idx="617">
                  <c:v>48.981329999999922</c:v>
                </c:pt>
                <c:pt idx="618">
                  <c:v>48.981329999999922</c:v>
                </c:pt>
                <c:pt idx="619">
                  <c:v>48.981329999999922</c:v>
                </c:pt>
                <c:pt idx="620">
                  <c:v>48.981329999999922</c:v>
                </c:pt>
                <c:pt idx="621">
                  <c:v>48.981329999999922</c:v>
                </c:pt>
                <c:pt idx="622">
                  <c:v>48.981329999999922</c:v>
                </c:pt>
                <c:pt idx="623">
                  <c:v>48.981329999999922</c:v>
                </c:pt>
                <c:pt idx="624">
                  <c:v>48.981329999999922</c:v>
                </c:pt>
                <c:pt idx="625">
                  <c:v>48.981329999999922</c:v>
                </c:pt>
                <c:pt idx="626">
                  <c:v>48.981329999999922</c:v>
                </c:pt>
                <c:pt idx="627">
                  <c:v>48.981329999999922</c:v>
                </c:pt>
                <c:pt idx="628">
                  <c:v>48.981329999999922</c:v>
                </c:pt>
                <c:pt idx="629">
                  <c:v>48.981329999999922</c:v>
                </c:pt>
                <c:pt idx="630">
                  <c:v>48.981329999999922</c:v>
                </c:pt>
                <c:pt idx="631">
                  <c:v>48.981329999999922</c:v>
                </c:pt>
                <c:pt idx="632">
                  <c:v>48.981329999999922</c:v>
                </c:pt>
                <c:pt idx="633">
                  <c:v>48.981329999999922</c:v>
                </c:pt>
                <c:pt idx="634">
                  <c:v>48.981329999999922</c:v>
                </c:pt>
                <c:pt idx="635">
                  <c:v>48.981329999999922</c:v>
                </c:pt>
                <c:pt idx="636">
                  <c:v>48.981329999999922</c:v>
                </c:pt>
                <c:pt idx="637">
                  <c:v>48.981329999999922</c:v>
                </c:pt>
                <c:pt idx="638">
                  <c:v>48.981329999999922</c:v>
                </c:pt>
                <c:pt idx="639">
                  <c:v>48.981329999999922</c:v>
                </c:pt>
                <c:pt idx="640">
                  <c:v>48.981329999999922</c:v>
                </c:pt>
                <c:pt idx="641">
                  <c:v>48.981329999999922</c:v>
                </c:pt>
                <c:pt idx="642">
                  <c:v>48.981329999999922</c:v>
                </c:pt>
                <c:pt idx="643">
                  <c:v>48.981329999999922</c:v>
                </c:pt>
                <c:pt idx="644">
                  <c:v>48.981329999999922</c:v>
                </c:pt>
                <c:pt idx="645">
                  <c:v>48.981329999999922</c:v>
                </c:pt>
                <c:pt idx="646">
                  <c:v>48.981329999999922</c:v>
                </c:pt>
                <c:pt idx="647">
                  <c:v>48.981329999999922</c:v>
                </c:pt>
                <c:pt idx="648">
                  <c:v>48.981329999999922</c:v>
                </c:pt>
                <c:pt idx="649">
                  <c:v>48.981329999999922</c:v>
                </c:pt>
                <c:pt idx="650">
                  <c:v>48.981329999999922</c:v>
                </c:pt>
                <c:pt idx="651">
                  <c:v>48.981329999999922</c:v>
                </c:pt>
                <c:pt idx="652">
                  <c:v>48.981329999999922</c:v>
                </c:pt>
                <c:pt idx="653">
                  <c:v>48.981329999999922</c:v>
                </c:pt>
                <c:pt idx="654">
                  <c:v>48.981329999999922</c:v>
                </c:pt>
                <c:pt idx="655">
                  <c:v>48.981329999999922</c:v>
                </c:pt>
                <c:pt idx="656">
                  <c:v>48.981329999999922</c:v>
                </c:pt>
                <c:pt idx="657">
                  <c:v>48.981329999999922</c:v>
                </c:pt>
                <c:pt idx="658">
                  <c:v>48.981329999999922</c:v>
                </c:pt>
                <c:pt idx="659">
                  <c:v>48.981329999999922</c:v>
                </c:pt>
                <c:pt idx="660">
                  <c:v>48.981329999999922</c:v>
                </c:pt>
                <c:pt idx="661">
                  <c:v>48.981329999999922</c:v>
                </c:pt>
                <c:pt idx="662">
                  <c:v>48.981329999999922</c:v>
                </c:pt>
                <c:pt idx="663">
                  <c:v>48.981329999999922</c:v>
                </c:pt>
                <c:pt idx="664">
                  <c:v>48.981329999999922</c:v>
                </c:pt>
                <c:pt idx="665">
                  <c:v>48.981329999999922</c:v>
                </c:pt>
                <c:pt idx="666">
                  <c:v>48.981329999999922</c:v>
                </c:pt>
                <c:pt idx="667">
                  <c:v>48.981329999999922</c:v>
                </c:pt>
                <c:pt idx="668">
                  <c:v>48.981329999999922</c:v>
                </c:pt>
                <c:pt idx="669">
                  <c:v>48.981329999999922</c:v>
                </c:pt>
                <c:pt idx="670">
                  <c:v>48.981329999999922</c:v>
                </c:pt>
                <c:pt idx="671">
                  <c:v>48.981329999999922</c:v>
                </c:pt>
                <c:pt idx="672">
                  <c:v>48.981329999999922</c:v>
                </c:pt>
                <c:pt idx="673">
                  <c:v>48.981329999999922</c:v>
                </c:pt>
                <c:pt idx="674">
                  <c:v>48.981329999999922</c:v>
                </c:pt>
                <c:pt idx="675">
                  <c:v>48.981329999999922</c:v>
                </c:pt>
                <c:pt idx="676">
                  <c:v>48.981329999999922</c:v>
                </c:pt>
                <c:pt idx="677">
                  <c:v>48.981329999999922</c:v>
                </c:pt>
                <c:pt idx="678">
                  <c:v>48.981329999999922</c:v>
                </c:pt>
                <c:pt idx="679">
                  <c:v>48.981329999999922</c:v>
                </c:pt>
                <c:pt idx="680">
                  <c:v>48.981329999999922</c:v>
                </c:pt>
                <c:pt idx="681">
                  <c:v>48.981329999999922</c:v>
                </c:pt>
                <c:pt idx="682">
                  <c:v>48.981329999999922</c:v>
                </c:pt>
                <c:pt idx="683">
                  <c:v>48.981329999999922</c:v>
                </c:pt>
                <c:pt idx="684">
                  <c:v>48.981329999999922</c:v>
                </c:pt>
                <c:pt idx="685">
                  <c:v>48.981329999999922</c:v>
                </c:pt>
                <c:pt idx="686">
                  <c:v>48.981329999999922</c:v>
                </c:pt>
                <c:pt idx="687">
                  <c:v>48.981329999999922</c:v>
                </c:pt>
                <c:pt idx="688">
                  <c:v>48.981329999999922</c:v>
                </c:pt>
                <c:pt idx="689">
                  <c:v>48.981329999999922</c:v>
                </c:pt>
                <c:pt idx="690">
                  <c:v>48.981329999999922</c:v>
                </c:pt>
                <c:pt idx="691">
                  <c:v>48.981329999999922</c:v>
                </c:pt>
                <c:pt idx="692">
                  <c:v>48.981329999999922</c:v>
                </c:pt>
                <c:pt idx="693">
                  <c:v>48.981329999999922</c:v>
                </c:pt>
                <c:pt idx="694">
                  <c:v>48.981329999999922</c:v>
                </c:pt>
                <c:pt idx="695">
                  <c:v>48.981329999999922</c:v>
                </c:pt>
                <c:pt idx="696">
                  <c:v>48.981329999999922</c:v>
                </c:pt>
                <c:pt idx="697">
                  <c:v>48.981329999999922</c:v>
                </c:pt>
                <c:pt idx="698">
                  <c:v>48.981329999999922</c:v>
                </c:pt>
                <c:pt idx="699">
                  <c:v>48.981329999999922</c:v>
                </c:pt>
                <c:pt idx="700">
                  <c:v>48.981329999999922</c:v>
                </c:pt>
                <c:pt idx="701">
                  <c:v>48.981329999999922</c:v>
                </c:pt>
                <c:pt idx="702">
                  <c:v>48.981329999999922</c:v>
                </c:pt>
                <c:pt idx="703">
                  <c:v>48.981329999999922</c:v>
                </c:pt>
                <c:pt idx="704">
                  <c:v>48.981329999999922</c:v>
                </c:pt>
                <c:pt idx="705">
                  <c:v>48.981329999999922</c:v>
                </c:pt>
                <c:pt idx="706">
                  <c:v>48.981329999999922</c:v>
                </c:pt>
                <c:pt idx="707">
                  <c:v>48.981329999999922</c:v>
                </c:pt>
                <c:pt idx="708">
                  <c:v>48.981329999999922</c:v>
                </c:pt>
                <c:pt idx="709">
                  <c:v>48.981329999999922</c:v>
                </c:pt>
                <c:pt idx="710">
                  <c:v>48.981329999999922</c:v>
                </c:pt>
                <c:pt idx="711">
                  <c:v>48.981329999999922</c:v>
                </c:pt>
                <c:pt idx="712">
                  <c:v>48.981329999999922</c:v>
                </c:pt>
                <c:pt idx="713">
                  <c:v>48.981329999999922</c:v>
                </c:pt>
                <c:pt idx="714">
                  <c:v>48.981329999999922</c:v>
                </c:pt>
                <c:pt idx="715">
                  <c:v>48.981329999999922</c:v>
                </c:pt>
                <c:pt idx="716">
                  <c:v>48.981329999999922</c:v>
                </c:pt>
                <c:pt idx="717">
                  <c:v>48.981329999999922</c:v>
                </c:pt>
                <c:pt idx="718">
                  <c:v>48.981329999999922</c:v>
                </c:pt>
                <c:pt idx="719">
                  <c:v>48.981329999999922</c:v>
                </c:pt>
                <c:pt idx="720">
                  <c:v>48.981329999999922</c:v>
                </c:pt>
                <c:pt idx="721">
                  <c:v>48.981329999999922</c:v>
                </c:pt>
                <c:pt idx="722">
                  <c:v>48.981329999999922</c:v>
                </c:pt>
                <c:pt idx="723">
                  <c:v>48.981329999999922</c:v>
                </c:pt>
                <c:pt idx="724">
                  <c:v>48.981329999999922</c:v>
                </c:pt>
                <c:pt idx="725">
                  <c:v>48.981329999999922</c:v>
                </c:pt>
                <c:pt idx="726">
                  <c:v>48.981329999999922</c:v>
                </c:pt>
                <c:pt idx="727">
                  <c:v>48.981329999999922</c:v>
                </c:pt>
                <c:pt idx="728">
                  <c:v>48.981329999999922</c:v>
                </c:pt>
                <c:pt idx="729">
                  <c:v>48.981329999999922</c:v>
                </c:pt>
                <c:pt idx="730">
                  <c:v>48.981329999999922</c:v>
                </c:pt>
                <c:pt idx="731">
                  <c:v>48.981329999999922</c:v>
                </c:pt>
                <c:pt idx="732">
                  <c:v>48.981329999999922</c:v>
                </c:pt>
                <c:pt idx="733">
                  <c:v>48.981329999999922</c:v>
                </c:pt>
                <c:pt idx="734">
                  <c:v>48.981329999999922</c:v>
                </c:pt>
                <c:pt idx="735">
                  <c:v>48.981329999999922</c:v>
                </c:pt>
                <c:pt idx="736">
                  <c:v>48.981329999999922</c:v>
                </c:pt>
                <c:pt idx="737">
                  <c:v>48.981329999999922</c:v>
                </c:pt>
                <c:pt idx="738">
                  <c:v>48.981329999999922</c:v>
                </c:pt>
                <c:pt idx="739">
                  <c:v>48.981329999999922</c:v>
                </c:pt>
                <c:pt idx="740">
                  <c:v>48.981329999999922</c:v>
                </c:pt>
                <c:pt idx="741">
                  <c:v>48.981329999999922</c:v>
                </c:pt>
                <c:pt idx="742">
                  <c:v>48.981329999999922</c:v>
                </c:pt>
                <c:pt idx="743">
                  <c:v>48.981329999999922</c:v>
                </c:pt>
                <c:pt idx="744">
                  <c:v>48.981329999999922</c:v>
                </c:pt>
                <c:pt idx="745">
                  <c:v>48.981329999999922</c:v>
                </c:pt>
                <c:pt idx="746">
                  <c:v>48.981329999999922</c:v>
                </c:pt>
                <c:pt idx="747">
                  <c:v>48.981329999999922</c:v>
                </c:pt>
                <c:pt idx="748">
                  <c:v>48.981329999999922</c:v>
                </c:pt>
                <c:pt idx="749">
                  <c:v>48.981329999999922</c:v>
                </c:pt>
                <c:pt idx="750">
                  <c:v>48.981329999999922</c:v>
                </c:pt>
                <c:pt idx="751">
                  <c:v>48.981329999999922</c:v>
                </c:pt>
                <c:pt idx="752">
                  <c:v>48.981329999999922</c:v>
                </c:pt>
                <c:pt idx="753">
                  <c:v>48.981329999999922</c:v>
                </c:pt>
                <c:pt idx="754">
                  <c:v>48.981329999999922</c:v>
                </c:pt>
                <c:pt idx="755">
                  <c:v>48.981329999999922</c:v>
                </c:pt>
                <c:pt idx="756">
                  <c:v>48.981329999999922</c:v>
                </c:pt>
                <c:pt idx="757">
                  <c:v>48.981329999999922</c:v>
                </c:pt>
                <c:pt idx="758">
                  <c:v>48.981329999999922</c:v>
                </c:pt>
                <c:pt idx="759">
                  <c:v>48.981329999999922</c:v>
                </c:pt>
                <c:pt idx="760">
                  <c:v>48.981329999999922</c:v>
                </c:pt>
                <c:pt idx="761">
                  <c:v>48.981329999999922</c:v>
                </c:pt>
                <c:pt idx="762">
                  <c:v>48.981329999999922</c:v>
                </c:pt>
                <c:pt idx="763">
                  <c:v>48.981329999999922</c:v>
                </c:pt>
                <c:pt idx="764">
                  <c:v>48.981329999999922</c:v>
                </c:pt>
                <c:pt idx="765">
                  <c:v>48.981329999999922</c:v>
                </c:pt>
                <c:pt idx="766">
                  <c:v>48.981329999999922</c:v>
                </c:pt>
                <c:pt idx="767">
                  <c:v>48.981329999999922</c:v>
                </c:pt>
                <c:pt idx="768">
                  <c:v>48.981329999999922</c:v>
                </c:pt>
                <c:pt idx="769">
                  <c:v>48.981329999999922</c:v>
                </c:pt>
                <c:pt idx="770">
                  <c:v>48.981329999999922</c:v>
                </c:pt>
                <c:pt idx="771">
                  <c:v>48.981329999999922</c:v>
                </c:pt>
                <c:pt idx="772">
                  <c:v>48.981329999999922</c:v>
                </c:pt>
                <c:pt idx="773">
                  <c:v>48.981329999999922</c:v>
                </c:pt>
                <c:pt idx="774">
                  <c:v>48.981329999999922</c:v>
                </c:pt>
                <c:pt idx="775">
                  <c:v>48.981329999999922</c:v>
                </c:pt>
                <c:pt idx="776">
                  <c:v>48.981329999999922</c:v>
                </c:pt>
                <c:pt idx="777">
                  <c:v>48.981329999999922</c:v>
                </c:pt>
                <c:pt idx="778">
                  <c:v>48.981329999999922</c:v>
                </c:pt>
                <c:pt idx="779">
                  <c:v>48.981329999999922</c:v>
                </c:pt>
                <c:pt idx="780">
                  <c:v>48.981329999999922</c:v>
                </c:pt>
                <c:pt idx="781">
                  <c:v>48.981329999999922</c:v>
                </c:pt>
                <c:pt idx="782">
                  <c:v>48.981329999999922</c:v>
                </c:pt>
                <c:pt idx="783">
                  <c:v>48.981329999999922</c:v>
                </c:pt>
                <c:pt idx="784">
                  <c:v>48.981329999999922</c:v>
                </c:pt>
                <c:pt idx="785">
                  <c:v>48.981329999999922</c:v>
                </c:pt>
                <c:pt idx="786">
                  <c:v>48.981329999999922</c:v>
                </c:pt>
                <c:pt idx="787">
                  <c:v>48.981329999999922</c:v>
                </c:pt>
                <c:pt idx="788">
                  <c:v>48.981329999999922</c:v>
                </c:pt>
                <c:pt idx="789">
                  <c:v>48.981329999999922</c:v>
                </c:pt>
                <c:pt idx="790">
                  <c:v>48.981329999999922</c:v>
                </c:pt>
                <c:pt idx="791">
                  <c:v>48.981329999999922</c:v>
                </c:pt>
                <c:pt idx="792">
                  <c:v>48.981329999999922</c:v>
                </c:pt>
                <c:pt idx="793">
                  <c:v>48.981329999999922</c:v>
                </c:pt>
                <c:pt idx="794">
                  <c:v>48.981329999999922</c:v>
                </c:pt>
                <c:pt idx="795">
                  <c:v>48.981329999999922</c:v>
                </c:pt>
                <c:pt idx="796">
                  <c:v>48.981329999999922</c:v>
                </c:pt>
                <c:pt idx="797">
                  <c:v>48.981329999999922</c:v>
                </c:pt>
                <c:pt idx="798">
                  <c:v>48.981329999999922</c:v>
                </c:pt>
                <c:pt idx="799">
                  <c:v>48.981329999999922</c:v>
                </c:pt>
                <c:pt idx="800">
                  <c:v>48.981329999999922</c:v>
                </c:pt>
                <c:pt idx="801">
                  <c:v>48.981329999999922</c:v>
                </c:pt>
                <c:pt idx="802">
                  <c:v>48.981329999999922</c:v>
                </c:pt>
                <c:pt idx="803">
                  <c:v>48.981329999999922</c:v>
                </c:pt>
                <c:pt idx="804">
                  <c:v>48.981329999999922</c:v>
                </c:pt>
                <c:pt idx="805">
                  <c:v>48.981329999999922</c:v>
                </c:pt>
                <c:pt idx="806">
                  <c:v>48.981329999999922</c:v>
                </c:pt>
                <c:pt idx="807">
                  <c:v>48.981329999999922</c:v>
                </c:pt>
                <c:pt idx="808">
                  <c:v>48.981329999999922</c:v>
                </c:pt>
                <c:pt idx="809">
                  <c:v>48.981329999999922</c:v>
                </c:pt>
                <c:pt idx="810">
                  <c:v>48.981329999999922</c:v>
                </c:pt>
                <c:pt idx="811">
                  <c:v>48.981329999999922</c:v>
                </c:pt>
                <c:pt idx="812">
                  <c:v>48.981329999999922</c:v>
                </c:pt>
                <c:pt idx="813">
                  <c:v>48.981329999999922</c:v>
                </c:pt>
                <c:pt idx="814">
                  <c:v>48.981329999999922</c:v>
                </c:pt>
                <c:pt idx="815">
                  <c:v>48.981329999999922</c:v>
                </c:pt>
                <c:pt idx="816">
                  <c:v>48.981329999999922</c:v>
                </c:pt>
                <c:pt idx="817">
                  <c:v>48.981329999999922</c:v>
                </c:pt>
                <c:pt idx="818">
                  <c:v>48.981329999999922</c:v>
                </c:pt>
                <c:pt idx="819">
                  <c:v>48.981329999999922</c:v>
                </c:pt>
                <c:pt idx="820">
                  <c:v>48.981329999999922</c:v>
                </c:pt>
                <c:pt idx="821">
                  <c:v>48.981329999999922</c:v>
                </c:pt>
                <c:pt idx="822">
                  <c:v>48.981329999999922</c:v>
                </c:pt>
                <c:pt idx="823">
                  <c:v>48.981329999999922</c:v>
                </c:pt>
                <c:pt idx="824">
                  <c:v>48.981329999999922</c:v>
                </c:pt>
                <c:pt idx="825">
                  <c:v>48.981329999999922</c:v>
                </c:pt>
                <c:pt idx="826">
                  <c:v>48.981329999999922</c:v>
                </c:pt>
                <c:pt idx="827">
                  <c:v>48.981329999999922</c:v>
                </c:pt>
                <c:pt idx="828">
                  <c:v>48.981329999999922</c:v>
                </c:pt>
                <c:pt idx="829">
                  <c:v>48.981329999999922</c:v>
                </c:pt>
                <c:pt idx="830">
                  <c:v>48.981329999999922</c:v>
                </c:pt>
                <c:pt idx="831">
                  <c:v>48.981329999999922</c:v>
                </c:pt>
                <c:pt idx="832">
                  <c:v>48.981329999999922</c:v>
                </c:pt>
                <c:pt idx="833">
                  <c:v>48.981329999999922</c:v>
                </c:pt>
                <c:pt idx="834">
                  <c:v>48.981329999999922</c:v>
                </c:pt>
                <c:pt idx="835">
                  <c:v>48.981329999999922</c:v>
                </c:pt>
                <c:pt idx="836">
                  <c:v>48.981329999999922</c:v>
                </c:pt>
                <c:pt idx="837">
                  <c:v>48.981329999999922</c:v>
                </c:pt>
                <c:pt idx="838">
                  <c:v>48.981329999999922</c:v>
                </c:pt>
                <c:pt idx="839">
                  <c:v>48.981329999999922</c:v>
                </c:pt>
                <c:pt idx="840">
                  <c:v>48.981329999999922</c:v>
                </c:pt>
                <c:pt idx="841">
                  <c:v>48.981329999999922</c:v>
                </c:pt>
                <c:pt idx="842">
                  <c:v>48.981329999999922</c:v>
                </c:pt>
                <c:pt idx="843">
                  <c:v>48.981329999999922</c:v>
                </c:pt>
                <c:pt idx="844">
                  <c:v>48.981329999999922</c:v>
                </c:pt>
                <c:pt idx="845">
                  <c:v>48.981329999999922</c:v>
                </c:pt>
                <c:pt idx="846">
                  <c:v>48.981329999999922</c:v>
                </c:pt>
                <c:pt idx="847">
                  <c:v>48.981329999999922</c:v>
                </c:pt>
                <c:pt idx="848">
                  <c:v>48.981329999999922</c:v>
                </c:pt>
                <c:pt idx="849">
                  <c:v>48.981329999999922</c:v>
                </c:pt>
                <c:pt idx="850">
                  <c:v>48.981329999999922</c:v>
                </c:pt>
                <c:pt idx="851">
                  <c:v>48.981329999999922</c:v>
                </c:pt>
                <c:pt idx="852">
                  <c:v>48.981329999999922</c:v>
                </c:pt>
                <c:pt idx="853">
                  <c:v>48.981329999999922</c:v>
                </c:pt>
                <c:pt idx="854">
                  <c:v>48.981329999999922</c:v>
                </c:pt>
                <c:pt idx="855">
                  <c:v>48.981329999999922</c:v>
                </c:pt>
                <c:pt idx="856">
                  <c:v>48.981329999999922</c:v>
                </c:pt>
                <c:pt idx="857">
                  <c:v>48.981329999999922</c:v>
                </c:pt>
                <c:pt idx="858">
                  <c:v>48.981329999999922</c:v>
                </c:pt>
                <c:pt idx="859">
                  <c:v>48.981329999999922</c:v>
                </c:pt>
                <c:pt idx="860">
                  <c:v>48.981329999999922</c:v>
                </c:pt>
                <c:pt idx="861">
                  <c:v>48.981329999999922</c:v>
                </c:pt>
                <c:pt idx="862">
                  <c:v>48.981329999999922</c:v>
                </c:pt>
                <c:pt idx="863">
                  <c:v>48.981329999999922</c:v>
                </c:pt>
                <c:pt idx="864">
                  <c:v>48.981329999999922</c:v>
                </c:pt>
                <c:pt idx="865">
                  <c:v>48.981329999999922</c:v>
                </c:pt>
                <c:pt idx="866">
                  <c:v>48.981329999999922</c:v>
                </c:pt>
                <c:pt idx="867">
                  <c:v>48.981329999999922</c:v>
                </c:pt>
                <c:pt idx="868">
                  <c:v>48.981329999999922</c:v>
                </c:pt>
                <c:pt idx="869">
                  <c:v>48.981329999999922</c:v>
                </c:pt>
                <c:pt idx="870">
                  <c:v>48.981329999999922</c:v>
                </c:pt>
                <c:pt idx="871">
                  <c:v>48.981329999999922</c:v>
                </c:pt>
                <c:pt idx="872">
                  <c:v>48.981329999999922</c:v>
                </c:pt>
                <c:pt idx="873">
                  <c:v>48.981329999999922</c:v>
                </c:pt>
                <c:pt idx="874">
                  <c:v>48.981329999999922</c:v>
                </c:pt>
                <c:pt idx="875">
                  <c:v>48.981329999999922</c:v>
                </c:pt>
                <c:pt idx="876">
                  <c:v>48.981329999999922</c:v>
                </c:pt>
                <c:pt idx="877">
                  <c:v>48.981329999999922</c:v>
                </c:pt>
                <c:pt idx="878">
                  <c:v>48.981329999999922</c:v>
                </c:pt>
                <c:pt idx="879">
                  <c:v>48.981329999999922</c:v>
                </c:pt>
                <c:pt idx="880">
                  <c:v>48.981329999999922</c:v>
                </c:pt>
                <c:pt idx="881">
                  <c:v>48.981329999999922</c:v>
                </c:pt>
                <c:pt idx="882">
                  <c:v>48.981329999999922</c:v>
                </c:pt>
                <c:pt idx="883">
                  <c:v>48.981329999999922</c:v>
                </c:pt>
                <c:pt idx="884">
                  <c:v>48.981329999999922</c:v>
                </c:pt>
                <c:pt idx="885">
                  <c:v>48.981329999999922</c:v>
                </c:pt>
                <c:pt idx="886">
                  <c:v>48.981329999999922</c:v>
                </c:pt>
                <c:pt idx="887">
                  <c:v>48.981329999999922</c:v>
                </c:pt>
                <c:pt idx="888">
                  <c:v>48.981329999999922</c:v>
                </c:pt>
                <c:pt idx="889">
                  <c:v>48.981329999999922</c:v>
                </c:pt>
                <c:pt idx="890">
                  <c:v>48.981329999999922</c:v>
                </c:pt>
                <c:pt idx="891">
                  <c:v>48.981329999999922</c:v>
                </c:pt>
                <c:pt idx="892">
                  <c:v>48.981329999999922</c:v>
                </c:pt>
                <c:pt idx="893">
                  <c:v>48.981329999999922</c:v>
                </c:pt>
                <c:pt idx="894">
                  <c:v>48.981329999999922</c:v>
                </c:pt>
                <c:pt idx="895">
                  <c:v>48.981329999999922</c:v>
                </c:pt>
                <c:pt idx="896">
                  <c:v>48.981329999999922</c:v>
                </c:pt>
                <c:pt idx="897">
                  <c:v>48.981329999999922</c:v>
                </c:pt>
                <c:pt idx="898">
                  <c:v>48.981329999999922</c:v>
                </c:pt>
                <c:pt idx="899">
                  <c:v>48.981329999999922</c:v>
                </c:pt>
                <c:pt idx="900">
                  <c:v>48.981329999999922</c:v>
                </c:pt>
                <c:pt idx="901">
                  <c:v>48.981329999999922</c:v>
                </c:pt>
                <c:pt idx="902">
                  <c:v>48.981329999999922</c:v>
                </c:pt>
                <c:pt idx="903">
                  <c:v>48.981329999999922</c:v>
                </c:pt>
                <c:pt idx="904">
                  <c:v>48.981329999999922</c:v>
                </c:pt>
                <c:pt idx="905">
                  <c:v>48.981329999999922</c:v>
                </c:pt>
                <c:pt idx="906">
                  <c:v>48.981329999999922</c:v>
                </c:pt>
                <c:pt idx="907">
                  <c:v>48.981329999999922</c:v>
                </c:pt>
                <c:pt idx="908">
                  <c:v>48.981329999999922</c:v>
                </c:pt>
                <c:pt idx="909">
                  <c:v>48.981329999999922</c:v>
                </c:pt>
                <c:pt idx="910">
                  <c:v>48.981329999999922</c:v>
                </c:pt>
                <c:pt idx="911">
                  <c:v>48.981329999999922</c:v>
                </c:pt>
                <c:pt idx="912">
                  <c:v>48.981329999999922</c:v>
                </c:pt>
                <c:pt idx="913">
                  <c:v>48.981329999999922</c:v>
                </c:pt>
                <c:pt idx="914">
                  <c:v>48.981329999999922</c:v>
                </c:pt>
                <c:pt idx="915">
                  <c:v>48.981329999999922</c:v>
                </c:pt>
                <c:pt idx="916">
                  <c:v>48.981329999999922</c:v>
                </c:pt>
                <c:pt idx="917">
                  <c:v>48.981329999999922</c:v>
                </c:pt>
                <c:pt idx="918">
                  <c:v>48.981329999999922</c:v>
                </c:pt>
                <c:pt idx="919">
                  <c:v>48.981329999999922</c:v>
                </c:pt>
                <c:pt idx="920">
                  <c:v>48.981329999999922</c:v>
                </c:pt>
                <c:pt idx="921">
                  <c:v>48.981329999999922</c:v>
                </c:pt>
                <c:pt idx="922">
                  <c:v>48.981329999999922</c:v>
                </c:pt>
                <c:pt idx="923">
                  <c:v>48.981329999999922</c:v>
                </c:pt>
                <c:pt idx="924">
                  <c:v>48.981329999999922</c:v>
                </c:pt>
                <c:pt idx="925">
                  <c:v>48.981329999999922</c:v>
                </c:pt>
                <c:pt idx="926">
                  <c:v>48.981329999999922</c:v>
                </c:pt>
                <c:pt idx="927">
                  <c:v>48.981329999999922</c:v>
                </c:pt>
                <c:pt idx="928">
                  <c:v>48.981329999999922</c:v>
                </c:pt>
                <c:pt idx="929">
                  <c:v>48.981329999999922</c:v>
                </c:pt>
                <c:pt idx="930">
                  <c:v>48.981329999999922</c:v>
                </c:pt>
                <c:pt idx="931">
                  <c:v>48.981329999999922</c:v>
                </c:pt>
                <c:pt idx="932">
                  <c:v>48.981329999999922</c:v>
                </c:pt>
                <c:pt idx="933">
                  <c:v>48.981329999999922</c:v>
                </c:pt>
                <c:pt idx="934">
                  <c:v>48.981329999999922</c:v>
                </c:pt>
                <c:pt idx="935">
                  <c:v>48.981329999999922</c:v>
                </c:pt>
                <c:pt idx="936">
                  <c:v>48.981329999999922</c:v>
                </c:pt>
                <c:pt idx="937">
                  <c:v>48.981329999999922</c:v>
                </c:pt>
                <c:pt idx="938">
                  <c:v>48.981329999999922</c:v>
                </c:pt>
                <c:pt idx="939">
                  <c:v>48.981329999999922</c:v>
                </c:pt>
                <c:pt idx="940">
                  <c:v>48.981329999999922</c:v>
                </c:pt>
                <c:pt idx="941">
                  <c:v>48.981329999999922</c:v>
                </c:pt>
                <c:pt idx="942">
                  <c:v>48.981329999999922</c:v>
                </c:pt>
                <c:pt idx="943">
                  <c:v>48.981329999999922</c:v>
                </c:pt>
                <c:pt idx="944">
                  <c:v>48.981329999999922</c:v>
                </c:pt>
                <c:pt idx="945">
                  <c:v>48.981329999999922</c:v>
                </c:pt>
                <c:pt idx="946">
                  <c:v>48.981329999999922</c:v>
                </c:pt>
                <c:pt idx="947">
                  <c:v>48.981329999999922</c:v>
                </c:pt>
                <c:pt idx="948">
                  <c:v>48.981329999999922</c:v>
                </c:pt>
                <c:pt idx="949">
                  <c:v>48.981329999999922</c:v>
                </c:pt>
                <c:pt idx="950">
                  <c:v>48.981329999999922</c:v>
                </c:pt>
                <c:pt idx="951">
                  <c:v>48.981329999999922</c:v>
                </c:pt>
                <c:pt idx="952">
                  <c:v>48.981329999999922</c:v>
                </c:pt>
                <c:pt idx="953">
                  <c:v>48.981329999999922</c:v>
                </c:pt>
                <c:pt idx="954">
                  <c:v>48.981329999999922</c:v>
                </c:pt>
                <c:pt idx="955">
                  <c:v>48.981329999999922</c:v>
                </c:pt>
                <c:pt idx="956">
                  <c:v>48.981329999999922</c:v>
                </c:pt>
                <c:pt idx="957">
                  <c:v>48.981329999999922</c:v>
                </c:pt>
                <c:pt idx="958">
                  <c:v>48.981329999999922</c:v>
                </c:pt>
                <c:pt idx="959">
                  <c:v>48.981329999999922</c:v>
                </c:pt>
                <c:pt idx="960">
                  <c:v>48.981329999999922</c:v>
                </c:pt>
                <c:pt idx="961">
                  <c:v>48.981329999999922</c:v>
                </c:pt>
                <c:pt idx="962">
                  <c:v>48.981329999999922</c:v>
                </c:pt>
                <c:pt idx="963">
                  <c:v>48.981329999999922</c:v>
                </c:pt>
                <c:pt idx="964">
                  <c:v>48.981329999999922</c:v>
                </c:pt>
                <c:pt idx="965">
                  <c:v>48.981329999999922</c:v>
                </c:pt>
                <c:pt idx="966">
                  <c:v>48.981329999999922</c:v>
                </c:pt>
                <c:pt idx="967">
                  <c:v>48.981329999999922</c:v>
                </c:pt>
                <c:pt idx="968">
                  <c:v>48.981329999999922</c:v>
                </c:pt>
                <c:pt idx="969">
                  <c:v>48.981329999999922</c:v>
                </c:pt>
                <c:pt idx="970">
                  <c:v>48.981329999999922</c:v>
                </c:pt>
                <c:pt idx="971">
                  <c:v>48.981329999999922</c:v>
                </c:pt>
                <c:pt idx="972">
                  <c:v>48.981329999999922</c:v>
                </c:pt>
                <c:pt idx="973">
                  <c:v>48.981329999999922</c:v>
                </c:pt>
                <c:pt idx="974">
                  <c:v>48.981329999999922</c:v>
                </c:pt>
                <c:pt idx="975">
                  <c:v>48.981329999999922</c:v>
                </c:pt>
                <c:pt idx="976">
                  <c:v>48.981329999999922</c:v>
                </c:pt>
                <c:pt idx="977">
                  <c:v>48.981329999999922</c:v>
                </c:pt>
                <c:pt idx="978">
                  <c:v>48.981329999999922</c:v>
                </c:pt>
                <c:pt idx="979">
                  <c:v>48.981329999999922</c:v>
                </c:pt>
                <c:pt idx="980">
                  <c:v>48.981329999999922</c:v>
                </c:pt>
                <c:pt idx="981">
                  <c:v>48.981329999999922</c:v>
                </c:pt>
                <c:pt idx="982">
                  <c:v>48.981329999999922</c:v>
                </c:pt>
                <c:pt idx="983">
                  <c:v>48.981329999999922</c:v>
                </c:pt>
                <c:pt idx="984">
                  <c:v>48.981329999999922</c:v>
                </c:pt>
                <c:pt idx="985">
                  <c:v>48.981329999999922</c:v>
                </c:pt>
                <c:pt idx="986">
                  <c:v>48.981329999999922</c:v>
                </c:pt>
                <c:pt idx="987">
                  <c:v>48.981329999999922</c:v>
                </c:pt>
                <c:pt idx="988">
                  <c:v>48.981329999999922</c:v>
                </c:pt>
                <c:pt idx="989">
                  <c:v>48.981329999999922</c:v>
                </c:pt>
                <c:pt idx="990">
                  <c:v>48.981329999999922</c:v>
                </c:pt>
                <c:pt idx="991">
                  <c:v>48.981329999999922</c:v>
                </c:pt>
                <c:pt idx="992">
                  <c:v>48.981329999999922</c:v>
                </c:pt>
                <c:pt idx="993">
                  <c:v>48.981329999999922</c:v>
                </c:pt>
                <c:pt idx="994">
                  <c:v>48.981329999999922</c:v>
                </c:pt>
                <c:pt idx="995">
                  <c:v>48.981329999999922</c:v>
                </c:pt>
                <c:pt idx="996">
                  <c:v>48.981329999999922</c:v>
                </c:pt>
                <c:pt idx="997">
                  <c:v>48.981329999999922</c:v>
                </c:pt>
                <c:pt idx="998">
                  <c:v>48.981329999999922</c:v>
                </c:pt>
                <c:pt idx="999">
                  <c:v>48.981329999999922</c:v>
                </c:pt>
                <c:pt idx="1000">
                  <c:v>48.981329999999922</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35.900000000000198</c:v>
                </c:pt>
                <c:pt idx="720">
                  <c:v>36.000000000000199</c:v>
                </c:pt>
                <c:pt idx="721">
                  <c:v>36.1000000000002</c:v>
                </c:pt>
                <c:pt idx="722">
                  <c:v>36.200000000000202</c:v>
                </c:pt>
                <c:pt idx="723">
                  <c:v>36.300000000000203</c:v>
                </c:pt>
                <c:pt idx="724">
                  <c:v>36.400000000000205</c:v>
                </c:pt>
                <c:pt idx="725">
                  <c:v>36.500000000000206</c:v>
                </c:pt>
                <c:pt idx="726">
                  <c:v>36.600000000000207</c:v>
                </c:pt>
                <c:pt idx="727">
                  <c:v>36.700000000000209</c:v>
                </c:pt>
                <c:pt idx="728">
                  <c:v>36.80000000000021</c:v>
                </c:pt>
                <c:pt idx="729">
                  <c:v>36.900000000000212</c:v>
                </c:pt>
                <c:pt idx="730">
                  <c:v>37.000000000000213</c:v>
                </c:pt>
                <c:pt idx="731">
                  <c:v>37.100000000000215</c:v>
                </c:pt>
                <c:pt idx="732">
                  <c:v>37.200000000000216</c:v>
                </c:pt>
                <c:pt idx="733">
                  <c:v>37.300000000000217</c:v>
                </c:pt>
                <c:pt idx="734">
                  <c:v>37.400000000000219</c:v>
                </c:pt>
                <c:pt idx="735">
                  <c:v>37.50000000000022</c:v>
                </c:pt>
                <c:pt idx="736">
                  <c:v>37.600000000000222</c:v>
                </c:pt>
                <c:pt idx="737">
                  <c:v>37.700000000000223</c:v>
                </c:pt>
                <c:pt idx="738">
                  <c:v>37.800000000000225</c:v>
                </c:pt>
                <c:pt idx="739">
                  <c:v>37.900000000000226</c:v>
                </c:pt>
                <c:pt idx="740">
                  <c:v>38.000000000000227</c:v>
                </c:pt>
                <c:pt idx="741">
                  <c:v>38.100000000000229</c:v>
                </c:pt>
                <c:pt idx="742">
                  <c:v>38.20000000000023</c:v>
                </c:pt>
                <c:pt idx="743">
                  <c:v>38.300000000000232</c:v>
                </c:pt>
                <c:pt idx="744">
                  <c:v>38.400000000000233</c:v>
                </c:pt>
                <c:pt idx="745">
                  <c:v>38.500000000000234</c:v>
                </c:pt>
                <c:pt idx="746">
                  <c:v>38.600000000000236</c:v>
                </c:pt>
                <c:pt idx="747">
                  <c:v>38.700000000000237</c:v>
                </c:pt>
                <c:pt idx="748">
                  <c:v>38.800000000000239</c:v>
                </c:pt>
                <c:pt idx="749">
                  <c:v>38.90000000000024</c:v>
                </c:pt>
                <c:pt idx="750">
                  <c:v>39.000000000000242</c:v>
                </c:pt>
                <c:pt idx="751">
                  <c:v>39.100000000000243</c:v>
                </c:pt>
                <c:pt idx="752">
                  <c:v>39.200000000000244</c:v>
                </c:pt>
                <c:pt idx="753">
                  <c:v>39.300000000000246</c:v>
                </c:pt>
                <c:pt idx="754">
                  <c:v>39.400000000000247</c:v>
                </c:pt>
                <c:pt idx="755">
                  <c:v>39.500000000000249</c:v>
                </c:pt>
                <c:pt idx="756">
                  <c:v>39.60000000000025</c:v>
                </c:pt>
                <c:pt idx="757">
                  <c:v>39.700000000000252</c:v>
                </c:pt>
                <c:pt idx="758">
                  <c:v>39.800000000000253</c:v>
                </c:pt>
                <c:pt idx="759">
                  <c:v>39.900000000000254</c:v>
                </c:pt>
                <c:pt idx="760">
                  <c:v>40.000000000000256</c:v>
                </c:pt>
                <c:pt idx="761">
                  <c:v>40.100000000000257</c:v>
                </c:pt>
                <c:pt idx="762">
                  <c:v>40.200000000000259</c:v>
                </c:pt>
                <c:pt idx="763">
                  <c:v>40.30000000000026</c:v>
                </c:pt>
                <c:pt idx="764">
                  <c:v>40.400000000000261</c:v>
                </c:pt>
                <c:pt idx="765">
                  <c:v>40.500000000000263</c:v>
                </c:pt>
                <c:pt idx="766">
                  <c:v>40.600000000000264</c:v>
                </c:pt>
                <c:pt idx="767">
                  <c:v>40.700000000000266</c:v>
                </c:pt>
                <c:pt idx="768">
                  <c:v>40.800000000000267</c:v>
                </c:pt>
                <c:pt idx="769">
                  <c:v>40.900000000000269</c:v>
                </c:pt>
                <c:pt idx="770">
                  <c:v>41.00000000000027</c:v>
                </c:pt>
                <c:pt idx="771">
                  <c:v>41.100000000000271</c:v>
                </c:pt>
                <c:pt idx="772">
                  <c:v>41.200000000000273</c:v>
                </c:pt>
                <c:pt idx="773">
                  <c:v>41.300000000000274</c:v>
                </c:pt>
                <c:pt idx="774">
                  <c:v>41.400000000000276</c:v>
                </c:pt>
                <c:pt idx="775">
                  <c:v>41.500000000000277</c:v>
                </c:pt>
                <c:pt idx="776">
                  <c:v>41.600000000000279</c:v>
                </c:pt>
                <c:pt idx="777">
                  <c:v>41.70000000000028</c:v>
                </c:pt>
                <c:pt idx="778">
                  <c:v>41.800000000000281</c:v>
                </c:pt>
                <c:pt idx="779">
                  <c:v>41.900000000000283</c:v>
                </c:pt>
                <c:pt idx="780">
                  <c:v>42.000000000000284</c:v>
                </c:pt>
                <c:pt idx="781">
                  <c:v>42.100000000000286</c:v>
                </c:pt>
                <c:pt idx="782">
                  <c:v>42.200000000000287</c:v>
                </c:pt>
                <c:pt idx="783">
                  <c:v>42.300000000000288</c:v>
                </c:pt>
                <c:pt idx="784">
                  <c:v>42.40000000000029</c:v>
                </c:pt>
                <c:pt idx="785">
                  <c:v>42.500000000000291</c:v>
                </c:pt>
                <c:pt idx="786">
                  <c:v>42.600000000000293</c:v>
                </c:pt>
                <c:pt idx="787">
                  <c:v>42.700000000000294</c:v>
                </c:pt>
                <c:pt idx="788">
                  <c:v>42.800000000000296</c:v>
                </c:pt>
                <c:pt idx="789">
                  <c:v>42.900000000000297</c:v>
                </c:pt>
                <c:pt idx="790">
                  <c:v>43.000000000000298</c:v>
                </c:pt>
                <c:pt idx="791">
                  <c:v>43.1000000000003</c:v>
                </c:pt>
                <c:pt idx="792">
                  <c:v>43.200000000000301</c:v>
                </c:pt>
                <c:pt idx="793">
                  <c:v>43.300000000000303</c:v>
                </c:pt>
                <c:pt idx="794">
                  <c:v>43.400000000000304</c:v>
                </c:pt>
                <c:pt idx="795">
                  <c:v>43.500000000000306</c:v>
                </c:pt>
                <c:pt idx="796">
                  <c:v>43.600000000000307</c:v>
                </c:pt>
                <c:pt idx="797">
                  <c:v>43.700000000000308</c:v>
                </c:pt>
                <c:pt idx="798">
                  <c:v>43.80000000000031</c:v>
                </c:pt>
                <c:pt idx="799">
                  <c:v>43.900000000000311</c:v>
                </c:pt>
                <c:pt idx="800">
                  <c:v>43.900100000000315</c:v>
                </c:pt>
                <c:pt idx="801">
                  <c:v>43.900200000000318</c:v>
                </c:pt>
                <c:pt idx="802">
                  <c:v>43.900300000000321</c:v>
                </c:pt>
                <c:pt idx="803">
                  <c:v>43.900400000000324</c:v>
                </c:pt>
                <c:pt idx="804">
                  <c:v>43.900500000000328</c:v>
                </c:pt>
                <c:pt idx="805">
                  <c:v>43.900600000000331</c:v>
                </c:pt>
                <c:pt idx="806">
                  <c:v>43.900700000000334</c:v>
                </c:pt>
                <c:pt idx="807">
                  <c:v>43.900800000000338</c:v>
                </c:pt>
                <c:pt idx="808">
                  <c:v>43.900900000000341</c:v>
                </c:pt>
                <c:pt idx="809">
                  <c:v>43.901000000000344</c:v>
                </c:pt>
                <c:pt idx="810">
                  <c:v>43.901100000000348</c:v>
                </c:pt>
                <c:pt idx="811">
                  <c:v>43.901200000000351</c:v>
                </c:pt>
                <c:pt idx="812">
                  <c:v>43.901300000000354</c:v>
                </c:pt>
                <c:pt idx="813">
                  <c:v>43.901400000000358</c:v>
                </c:pt>
                <c:pt idx="814">
                  <c:v>43.901500000000361</c:v>
                </c:pt>
                <c:pt idx="815">
                  <c:v>43.901600000000364</c:v>
                </c:pt>
                <c:pt idx="816">
                  <c:v>43.901700000000368</c:v>
                </c:pt>
                <c:pt idx="817">
                  <c:v>43.901800000000371</c:v>
                </c:pt>
                <c:pt idx="818">
                  <c:v>43.901900000000374</c:v>
                </c:pt>
                <c:pt idx="819">
                  <c:v>43.902000000000378</c:v>
                </c:pt>
                <c:pt idx="820">
                  <c:v>43.902100000000381</c:v>
                </c:pt>
                <c:pt idx="821">
                  <c:v>43.902200000000384</c:v>
                </c:pt>
                <c:pt idx="822">
                  <c:v>43.902300000000388</c:v>
                </c:pt>
                <c:pt idx="823">
                  <c:v>43.902400000000391</c:v>
                </c:pt>
                <c:pt idx="824">
                  <c:v>43.902500000000394</c:v>
                </c:pt>
                <c:pt idx="825">
                  <c:v>43.902600000000398</c:v>
                </c:pt>
                <c:pt idx="826">
                  <c:v>43.902700000000401</c:v>
                </c:pt>
                <c:pt idx="827">
                  <c:v>43.902800000000404</c:v>
                </c:pt>
                <c:pt idx="828">
                  <c:v>43.902900000000407</c:v>
                </c:pt>
                <c:pt idx="829">
                  <c:v>43.903000000000411</c:v>
                </c:pt>
                <c:pt idx="830">
                  <c:v>43.903100000000414</c:v>
                </c:pt>
                <c:pt idx="831">
                  <c:v>43.903200000000417</c:v>
                </c:pt>
                <c:pt idx="832">
                  <c:v>43.903300000000421</c:v>
                </c:pt>
                <c:pt idx="833">
                  <c:v>43.903400000000424</c:v>
                </c:pt>
                <c:pt idx="834">
                  <c:v>43.903500000000427</c:v>
                </c:pt>
                <c:pt idx="835">
                  <c:v>43.903600000000431</c:v>
                </c:pt>
                <c:pt idx="836">
                  <c:v>43.903700000000434</c:v>
                </c:pt>
                <c:pt idx="837">
                  <c:v>43.903800000000437</c:v>
                </c:pt>
                <c:pt idx="838">
                  <c:v>43.903900000000441</c:v>
                </c:pt>
                <c:pt idx="839">
                  <c:v>43.904000000000444</c:v>
                </c:pt>
                <c:pt idx="840">
                  <c:v>43.904100000000447</c:v>
                </c:pt>
                <c:pt idx="841">
                  <c:v>43.904200000000451</c:v>
                </c:pt>
                <c:pt idx="842">
                  <c:v>43.904300000000454</c:v>
                </c:pt>
                <c:pt idx="843">
                  <c:v>43.904400000000457</c:v>
                </c:pt>
                <c:pt idx="844">
                  <c:v>43.904500000000461</c:v>
                </c:pt>
                <c:pt idx="845">
                  <c:v>43.904600000000464</c:v>
                </c:pt>
                <c:pt idx="846">
                  <c:v>43.904700000000467</c:v>
                </c:pt>
                <c:pt idx="847">
                  <c:v>43.904800000000471</c:v>
                </c:pt>
                <c:pt idx="848">
                  <c:v>43.904900000000474</c:v>
                </c:pt>
                <c:pt idx="849">
                  <c:v>43.905000000000477</c:v>
                </c:pt>
                <c:pt idx="850">
                  <c:v>43.905100000000481</c:v>
                </c:pt>
                <c:pt idx="851">
                  <c:v>43.905200000000484</c:v>
                </c:pt>
                <c:pt idx="852">
                  <c:v>43.905300000000487</c:v>
                </c:pt>
                <c:pt idx="853">
                  <c:v>43.90540000000049</c:v>
                </c:pt>
                <c:pt idx="854">
                  <c:v>43.905500000000494</c:v>
                </c:pt>
                <c:pt idx="855">
                  <c:v>43.905600000000497</c:v>
                </c:pt>
                <c:pt idx="856">
                  <c:v>43.9057000000005</c:v>
                </c:pt>
                <c:pt idx="857">
                  <c:v>43.905800000000504</c:v>
                </c:pt>
                <c:pt idx="858">
                  <c:v>43.905900000000507</c:v>
                </c:pt>
                <c:pt idx="859">
                  <c:v>43.90600000000051</c:v>
                </c:pt>
                <c:pt idx="860">
                  <c:v>43.906100000000514</c:v>
                </c:pt>
                <c:pt idx="861">
                  <c:v>43.906200000000517</c:v>
                </c:pt>
                <c:pt idx="862">
                  <c:v>43.90630000000052</c:v>
                </c:pt>
                <c:pt idx="863">
                  <c:v>43.906400000000524</c:v>
                </c:pt>
                <c:pt idx="864">
                  <c:v>43.906500000000527</c:v>
                </c:pt>
                <c:pt idx="865">
                  <c:v>43.90660000000053</c:v>
                </c:pt>
                <c:pt idx="866">
                  <c:v>43.906700000000534</c:v>
                </c:pt>
                <c:pt idx="867">
                  <c:v>43.906800000000537</c:v>
                </c:pt>
                <c:pt idx="868">
                  <c:v>43.90690000000054</c:v>
                </c:pt>
                <c:pt idx="869">
                  <c:v>43.907000000000544</c:v>
                </c:pt>
                <c:pt idx="870">
                  <c:v>43.907100000000547</c:v>
                </c:pt>
                <c:pt idx="871">
                  <c:v>43.90720000000055</c:v>
                </c:pt>
                <c:pt idx="872">
                  <c:v>43.907300000000554</c:v>
                </c:pt>
                <c:pt idx="873">
                  <c:v>43.907400000000557</c:v>
                </c:pt>
                <c:pt idx="874">
                  <c:v>43.90750000000056</c:v>
                </c:pt>
                <c:pt idx="875">
                  <c:v>43.907600000000564</c:v>
                </c:pt>
                <c:pt idx="876">
                  <c:v>43.907700000000567</c:v>
                </c:pt>
                <c:pt idx="877">
                  <c:v>43.90780000000057</c:v>
                </c:pt>
                <c:pt idx="878">
                  <c:v>43.907900000000573</c:v>
                </c:pt>
                <c:pt idx="879">
                  <c:v>43.908000000000577</c:v>
                </c:pt>
                <c:pt idx="880">
                  <c:v>43.90810000000058</c:v>
                </c:pt>
                <c:pt idx="881">
                  <c:v>43.908200000000583</c:v>
                </c:pt>
                <c:pt idx="882">
                  <c:v>43.908300000000587</c:v>
                </c:pt>
                <c:pt idx="883">
                  <c:v>43.90840000000059</c:v>
                </c:pt>
                <c:pt idx="884">
                  <c:v>43.908500000000593</c:v>
                </c:pt>
                <c:pt idx="885">
                  <c:v>43.908600000000597</c:v>
                </c:pt>
                <c:pt idx="886">
                  <c:v>43.9087000000006</c:v>
                </c:pt>
                <c:pt idx="887">
                  <c:v>43.908800000000603</c:v>
                </c:pt>
                <c:pt idx="888">
                  <c:v>43.908900000000607</c:v>
                </c:pt>
                <c:pt idx="889">
                  <c:v>43.90900000000061</c:v>
                </c:pt>
                <c:pt idx="890">
                  <c:v>43.909100000000613</c:v>
                </c:pt>
                <c:pt idx="891">
                  <c:v>43.909200000000617</c:v>
                </c:pt>
                <c:pt idx="892">
                  <c:v>43.90930000000062</c:v>
                </c:pt>
                <c:pt idx="893">
                  <c:v>43.909400000000623</c:v>
                </c:pt>
                <c:pt idx="894">
                  <c:v>43.909500000000627</c:v>
                </c:pt>
                <c:pt idx="895">
                  <c:v>43.90960000000063</c:v>
                </c:pt>
                <c:pt idx="896">
                  <c:v>43.909700000000633</c:v>
                </c:pt>
                <c:pt idx="897">
                  <c:v>43.909800000000637</c:v>
                </c:pt>
                <c:pt idx="898">
                  <c:v>43.90990000000064</c:v>
                </c:pt>
                <c:pt idx="899">
                  <c:v>43.910000000000643</c:v>
                </c:pt>
                <c:pt idx="900">
                  <c:v>43.910100000000647</c:v>
                </c:pt>
                <c:pt idx="901">
                  <c:v>43.91020000000065</c:v>
                </c:pt>
                <c:pt idx="902">
                  <c:v>43.910300000000653</c:v>
                </c:pt>
                <c:pt idx="903">
                  <c:v>43.910400000000656</c:v>
                </c:pt>
                <c:pt idx="904">
                  <c:v>43.91050000000066</c:v>
                </c:pt>
                <c:pt idx="905">
                  <c:v>43.910600000000663</c:v>
                </c:pt>
                <c:pt idx="906">
                  <c:v>43.910700000000666</c:v>
                </c:pt>
                <c:pt idx="907">
                  <c:v>43.91080000000067</c:v>
                </c:pt>
                <c:pt idx="908">
                  <c:v>43.910900000000673</c:v>
                </c:pt>
                <c:pt idx="909">
                  <c:v>43.911000000000676</c:v>
                </c:pt>
                <c:pt idx="910">
                  <c:v>43.91110000000068</c:v>
                </c:pt>
                <c:pt idx="911">
                  <c:v>43.911200000000683</c:v>
                </c:pt>
                <c:pt idx="912">
                  <c:v>43.911300000000686</c:v>
                </c:pt>
                <c:pt idx="913">
                  <c:v>43.91140000000069</c:v>
                </c:pt>
                <c:pt idx="914">
                  <c:v>43.911500000000693</c:v>
                </c:pt>
                <c:pt idx="915">
                  <c:v>43.911600000000696</c:v>
                </c:pt>
                <c:pt idx="916">
                  <c:v>43.9117000000007</c:v>
                </c:pt>
                <c:pt idx="917">
                  <c:v>43.911800000000703</c:v>
                </c:pt>
                <c:pt idx="918">
                  <c:v>43.911900000000706</c:v>
                </c:pt>
                <c:pt idx="919">
                  <c:v>43.91200000000071</c:v>
                </c:pt>
                <c:pt idx="920">
                  <c:v>43.912100000000713</c:v>
                </c:pt>
                <c:pt idx="921">
                  <c:v>43.912200000000716</c:v>
                </c:pt>
                <c:pt idx="922">
                  <c:v>43.91230000000072</c:v>
                </c:pt>
                <c:pt idx="923">
                  <c:v>43.912400000000723</c:v>
                </c:pt>
                <c:pt idx="924">
                  <c:v>43.912500000000726</c:v>
                </c:pt>
                <c:pt idx="925">
                  <c:v>43.912600000000729</c:v>
                </c:pt>
                <c:pt idx="926">
                  <c:v>43.912700000000733</c:v>
                </c:pt>
                <c:pt idx="927">
                  <c:v>43.912800000000736</c:v>
                </c:pt>
                <c:pt idx="928">
                  <c:v>43.912900000000739</c:v>
                </c:pt>
                <c:pt idx="929">
                  <c:v>43.913000000000743</c:v>
                </c:pt>
                <c:pt idx="930">
                  <c:v>43.913100000000746</c:v>
                </c:pt>
                <c:pt idx="931">
                  <c:v>43.913200000000749</c:v>
                </c:pt>
                <c:pt idx="932">
                  <c:v>43.913300000000753</c:v>
                </c:pt>
                <c:pt idx="933">
                  <c:v>43.913400000000756</c:v>
                </c:pt>
                <c:pt idx="934">
                  <c:v>43.913500000000759</c:v>
                </c:pt>
                <c:pt idx="935">
                  <c:v>43.913600000000763</c:v>
                </c:pt>
                <c:pt idx="936">
                  <c:v>43.913700000000766</c:v>
                </c:pt>
                <c:pt idx="937">
                  <c:v>43.913800000000769</c:v>
                </c:pt>
                <c:pt idx="938">
                  <c:v>43.913900000000773</c:v>
                </c:pt>
                <c:pt idx="939">
                  <c:v>43.914000000000776</c:v>
                </c:pt>
                <c:pt idx="940">
                  <c:v>43.914100000000779</c:v>
                </c:pt>
                <c:pt idx="941">
                  <c:v>43.914200000000783</c:v>
                </c:pt>
                <c:pt idx="942">
                  <c:v>43.914300000000786</c:v>
                </c:pt>
                <c:pt idx="943">
                  <c:v>43.914400000000789</c:v>
                </c:pt>
                <c:pt idx="944">
                  <c:v>43.914500000000793</c:v>
                </c:pt>
                <c:pt idx="945">
                  <c:v>43.914600000000796</c:v>
                </c:pt>
                <c:pt idx="946">
                  <c:v>43.914700000000799</c:v>
                </c:pt>
                <c:pt idx="947">
                  <c:v>43.914800000000803</c:v>
                </c:pt>
                <c:pt idx="948">
                  <c:v>43.914900000000806</c:v>
                </c:pt>
                <c:pt idx="949">
                  <c:v>43.915000000000809</c:v>
                </c:pt>
                <c:pt idx="950">
                  <c:v>43.915100000000812</c:v>
                </c:pt>
                <c:pt idx="951">
                  <c:v>43.915200000000816</c:v>
                </c:pt>
                <c:pt idx="952">
                  <c:v>43.915300000000819</c:v>
                </c:pt>
                <c:pt idx="953">
                  <c:v>43.915400000000822</c:v>
                </c:pt>
                <c:pt idx="954">
                  <c:v>43.915500000000826</c:v>
                </c:pt>
                <c:pt idx="955">
                  <c:v>43.915600000000829</c:v>
                </c:pt>
                <c:pt idx="956">
                  <c:v>43.915700000000832</c:v>
                </c:pt>
                <c:pt idx="957">
                  <c:v>43.915800000000836</c:v>
                </c:pt>
                <c:pt idx="958">
                  <c:v>43.915900000000839</c:v>
                </c:pt>
                <c:pt idx="959">
                  <c:v>43.916000000000842</c:v>
                </c:pt>
                <c:pt idx="960">
                  <c:v>43.916100000000846</c:v>
                </c:pt>
                <c:pt idx="961">
                  <c:v>43.916200000000849</c:v>
                </c:pt>
                <c:pt idx="962">
                  <c:v>43.916300000000852</c:v>
                </c:pt>
                <c:pt idx="963">
                  <c:v>43.916400000000856</c:v>
                </c:pt>
                <c:pt idx="964">
                  <c:v>43.916500000000859</c:v>
                </c:pt>
                <c:pt idx="965">
                  <c:v>43.916600000000862</c:v>
                </c:pt>
                <c:pt idx="966">
                  <c:v>43.916700000000866</c:v>
                </c:pt>
                <c:pt idx="967">
                  <c:v>43.916800000000869</c:v>
                </c:pt>
                <c:pt idx="968">
                  <c:v>43.916900000000872</c:v>
                </c:pt>
                <c:pt idx="969">
                  <c:v>43.917000000000876</c:v>
                </c:pt>
                <c:pt idx="970">
                  <c:v>43.917100000000879</c:v>
                </c:pt>
                <c:pt idx="971">
                  <c:v>43.917200000000882</c:v>
                </c:pt>
                <c:pt idx="972">
                  <c:v>43.917300000000886</c:v>
                </c:pt>
                <c:pt idx="973">
                  <c:v>43.917400000000889</c:v>
                </c:pt>
                <c:pt idx="974">
                  <c:v>43.917500000000892</c:v>
                </c:pt>
                <c:pt idx="975">
                  <c:v>43.917600000000895</c:v>
                </c:pt>
                <c:pt idx="976">
                  <c:v>43.917700000000899</c:v>
                </c:pt>
                <c:pt idx="977">
                  <c:v>43.917800000000902</c:v>
                </c:pt>
                <c:pt idx="978">
                  <c:v>43.917900000000905</c:v>
                </c:pt>
                <c:pt idx="979">
                  <c:v>43.918000000000909</c:v>
                </c:pt>
                <c:pt idx="980">
                  <c:v>43.918100000000912</c:v>
                </c:pt>
                <c:pt idx="981">
                  <c:v>43.918200000000915</c:v>
                </c:pt>
                <c:pt idx="982">
                  <c:v>43.918300000000919</c:v>
                </c:pt>
                <c:pt idx="983">
                  <c:v>43.918400000000922</c:v>
                </c:pt>
                <c:pt idx="984">
                  <c:v>43.918500000000925</c:v>
                </c:pt>
                <c:pt idx="985">
                  <c:v>43.918600000000929</c:v>
                </c:pt>
                <c:pt idx="986">
                  <c:v>43.918700000000932</c:v>
                </c:pt>
                <c:pt idx="987">
                  <c:v>43.918800000000935</c:v>
                </c:pt>
                <c:pt idx="988">
                  <c:v>43.918900000000939</c:v>
                </c:pt>
                <c:pt idx="989">
                  <c:v>43.919000000000942</c:v>
                </c:pt>
                <c:pt idx="990">
                  <c:v>43.919100000000945</c:v>
                </c:pt>
                <c:pt idx="991">
                  <c:v>43.919200000000949</c:v>
                </c:pt>
                <c:pt idx="992">
                  <c:v>43.919300000000952</c:v>
                </c:pt>
                <c:pt idx="993">
                  <c:v>43.919400000000955</c:v>
                </c:pt>
                <c:pt idx="994">
                  <c:v>43.919500000000959</c:v>
                </c:pt>
                <c:pt idx="995">
                  <c:v>43.919600000000962</c:v>
                </c:pt>
                <c:pt idx="996">
                  <c:v>43.919700000000965</c:v>
                </c:pt>
                <c:pt idx="997">
                  <c:v>43.919800000000969</c:v>
                </c:pt>
                <c:pt idx="998">
                  <c:v>43.919900000000972</c:v>
                </c:pt>
                <c:pt idx="999">
                  <c:v>43.920000000000975</c:v>
                </c:pt>
                <c:pt idx="1000">
                  <c:v>43.920100000000978</c:v>
                </c:pt>
              </c:numCache>
            </c:numRef>
          </c:xVal>
          <c:yVal>
            <c:numRef>
              <c:f>Calculs!$W$4:$W$1004</c:f>
              <c:numCache>
                <c:formatCode>0.00</c:formatCode>
                <c:ptCount val="1001"/>
                <c:pt idx="0">
                  <c:v>39.744634517252493</c:v>
                </c:pt>
                <c:pt idx="1">
                  <c:v>39.729302150199302</c:v>
                </c:pt>
                <c:pt idx="2">
                  <c:v>39.949901113248288</c:v>
                </c:pt>
                <c:pt idx="3">
                  <c:v>40.408216855653897</c:v>
                </c:pt>
                <c:pt idx="4">
                  <c:v>41.108228953315319</c:v>
                </c:pt>
                <c:pt idx="5">
                  <c:v>42.056109961427893</c:v>
                </c:pt>
                <c:pt idx="6">
                  <c:v>43.135586320971903</c:v>
                </c:pt>
                <c:pt idx="7">
                  <c:v>44.225002504054309</c:v>
                </c:pt>
                <c:pt idx="8">
                  <c:v>45.324196543424378</c:v>
                </c:pt>
                <c:pt idx="9">
                  <c:v>46.433006063033041</c:v>
                </c:pt>
                <c:pt idx="10">
                  <c:v>47.551268303148774</c:v>
                </c:pt>
                <c:pt idx="11">
                  <c:v>48.678820145448647</c:v>
                </c:pt>
                <c:pt idx="12">
                  <c:v>49.815498138078155</c:v>
                </c:pt>
                <c:pt idx="13">
                  <c:v>50.961138520672677</c:v>
                </c:pt>
                <c:pt idx="14">
                  <c:v>52.115577249334649</c:v>
                </c:pt>
                <c:pt idx="15">
                  <c:v>53.278650021558953</c:v>
                </c:pt>
                <c:pt idx="16">
                  <c:v>54.45019230110114</c:v>
                </c:pt>
                <c:pt idx="17">
                  <c:v>55.630039342780805</c:v>
                </c:pt>
                <c:pt idx="18">
                  <c:v>56.818026217214694</c:v>
                </c:pt>
                <c:pt idx="19">
                  <c:v>58.013987835472669</c:v>
                </c:pt>
                <c:pt idx="20">
                  <c:v>59.217758973650469</c:v>
                </c:pt>
                <c:pt idx="21">
                  <c:v>60.429174297352773</c:v>
                </c:pt>
                <c:pt idx="22">
                  <c:v>61.648068386080887</c:v>
                </c:pt>
                <c:pt idx="23">
                  <c:v>62.874275757518376</c:v>
                </c:pt>
                <c:pt idx="24">
                  <c:v>64.107630891709263</c:v>
                </c:pt>
                <c:pt idx="25">
                  <c:v>65.347968255122268</c:v>
                </c:pt>
                <c:pt idx="26">
                  <c:v>66.595122324595692</c:v>
                </c:pt>
                <c:pt idx="27">
                  <c:v>67.848927611156839</c:v>
                </c:pt>
                <c:pt idx="28">
                  <c:v>69.109218683710637</c:v>
                </c:pt>
                <c:pt idx="29">
                  <c:v>70.37583019259128</c:v>
                </c:pt>
                <c:pt idx="30">
                  <c:v>71.648596892972009</c:v>
                </c:pt>
                <c:pt idx="31">
                  <c:v>72.927353668127026</c:v>
                </c:pt>
                <c:pt idx="32">
                  <c:v>74.211935552540751</c:v>
                </c:pt>
                <c:pt idx="33">
                  <c:v>75.502177754858522</c:v>
                </c:pt>
                <c:pt idx="34">
                  <c:v>76.79791568067391</c:v>
                </c:pt>
                <c:pt idx="35">
                  <c:v>78.098984955147785</c:v>
                </c:pt>
                <c:pt idx="36">
                  <c:v>79.405221445453734</c:v>
                </c:pt>
                <c:pt idx="37">
                  <c:v>80.716461283044936</c:v>
                </c:pt>
                <c:pt idx="38">
                  <c:v>82.032540885738143</c:v>
                </c:pt>
                <c:pt idx="39">
                  <c:v>83.353296979609652</c:v>
                </c:pt>
                <c:pt idx="40">
                  <c:v>84.678566620698717</c:v>
                </c:pt>
                <c:pt idx="41">
                  <c:v>86.008187216514301</c:v>
                </c:pt>
                <c:pt idx="42">
                  <c:v>87.341996547340202</c:v>
                </c:pt>
                <c:pt idx="43">
                  <c:v>88.679832787334391</c:v>
                </c:pt>
                <c:pt idx="44">
                  <c:v>90.021534525419355</c:v>
                </c:pt>
                <c:pt idx="45">
                  <c:v>91.366940785957169</c:v>
                </c:pt>
                <c:pt idx="46">
                  <c:v>92.715891049207983</c:v>
                </c:pt>
                <c:pt idx="47">
                  <c:v>94.068225271566263</c:v>
                </c:pt>
                <c:pt idx="48">
                  <c:v>95.423783905571156</c:v>
                </c:pt>
                <c:pt idx="49">
                  <c:v>96.782407919688495</c:v>
                </c:pt>
                <c:pt idx="50">
                  <c:v>98.143938817859507</c:v>
                </c:pt>
                <c:pt idx="51">
                  <c:v>99.509222123292844</c:v>
                </c:pt>
                <c:pt idx="52">
                  <c:v>100.87913154289446</c:v>
                </c:pt>
                <c:pt idx="53">
                  <c:v>102.25355019446049</c:v>
                </c:pt>
                <c:pt idx="54">
                  <c:v>103.63236130377514</c:v>
                </c:pt>
                <c:pt idx="55">
                  <c:v>105.01544821838441</c:v>
                </c:pt>
                <c:pt idx="56">
                  <c:v>106.40269442127349</c:v>
                </c:pt>
                <c:pt idx="57">
                  <c:v>107.79398354444621</c:v>
                </c:pt>
                <c:pt idx="58">
                  <c:v>109.18919938240306</c:v>
                </c:pt>
                <c:pt idx="59">
                  <c:v>110.58822590551651</c:v>
                </c:pt>
                <c:pt idx="60">
                  <c:v>111.99094727329957</c:v>
                </c:pt>
                <c:pt idx="61">
                  <c:v>113.39724784756667</c:v>
                </c:pt>
                <c:pt idx="62">
                  <c:v>114.80701220548396</c:v>
                </c:pt>
                <c:pt idx="63">
                  <c:v>116.22012515250691</c:v>
                </c:pt>
                <c:pt idx="64">
                  <c:v>117.63647173520259</c:v>
                </c:pt>
                <c:pt idx="65">
                  <c:v>119.05593725395462</c:v>
                </c:pt>
                <c:pt idx="66">
                  <c:v>120.47840727554967</c:v>
                </c:pt>
                <c:pt idx="67">
                  <c:v>121.90376764564137</c:v>
                </c:pt>
                <c:pt idx="68">
                  <c:v>123.33190450109183</c:v>
                </c:pt>
                <c:pt idx="69">
                  <c:v>124.76270428218719</c:v>
                </c:pt>
                <c:pt idx="70">
                  <c:v>126.19605374472606</c:v>
                </c:pt>
                <c:pt idx="71">
                  <c:v>127.63183997197869</c:v>
                </c:pt>
                <c:pt idx="72">
                  <c:v>129.06995038651561</c:v>
                </c:pt>
                <c:pt idx="73">
                  <c:v>130.51027276190311</c:v>
                </c:pt>
                <c:pt idx="74">
                  <c:v>131.95269523426418</c:v>
                </c:pt>
                <c:pt idx="75">
                  <c:v>133.39710631370403</c:v>
                </c:pt>
                <c:pt idx="76">
                  <c:v>134.84339489559736</c:v>
                </c:pt>
                <c:pt idx="77">
                  <c:v>136.29145027173658</c:v>
                </c:pt>
                <c:pt idx="78">
                  <c:v>137.74116214133966</c:v>
                </c:pt>
                <c:pt idx="79">
                  <c:v>139.19242062191526</c:v>
                </c:pt>
                <c:pt idx="80">
                  <c:v>140.64511625998463</c:v>
                </c:pt>
                <c:pt idx="81">
                  <c:v>142.09914004165913</c:v>
                </c:pt>
                <c:pt idx="82">
                  <c:v>143.55438340307077</c:v>
                </c:pt>
                <c:pt idx="83">
                  <c:v>145.01073824065602</c:v>
                </c:pt>
                <c:pt idx="84">
                  <c:v>146.46809692129088</c:v>
                </c:pt>
                <c:pt idx="85">
                  <c:v>147.92635229227639</c:v>
                </c:pt>
                <c:pt idx="86">
                  <c:v>149.38539769117352</c:v>
                </c:pt>
                <c:pt idx="87">
                  <c:v>150.84512695548642</c:v>
                </c:pt>
                <c:pt idx="88">
                  <c:v>152.30543443219256</c:v>
                </c:pt>
                <c:pt idx="89">
                  <c:v>153.76621498711995</c:v>
                </c:pt>
                <c:pt idx="90">
                  <c:v>155.22736401416972</c:v>
                </c:pt>
                <c:pt idx="91">
                  <c:v>156.68877744438325</c:v>
                </c:pt>
                <c:pt idx="92">
                  <c:v>158.15035175485383</c:v>
                </c:pt>
                <c:pt idx="93">
                  <c:v>159.61198397748115</c:v>
                </c:pt>
                <c:pt idx="94">
                  <c:v>161.07357170756922</c:v>
                </c:pt>
                <c:pt idx="95">
                  <c:v>162.53501311226563</c:v>
                </c:pt>
                <c:pt idx="96">
                  <c:v>163.99620693884296</c:v>
                </c:pt>
                <c:pt idx="97">
                  <c:v>165.45705252282119</c:v>
                </c:pt>
                <c:pt idx="98">
                  <c:v>166.91744979593065</c:v>
                </c:pt>
                <c:pt idx="99">
                  <c:v>168.37729929391517</c:v>
                </c:pt>
                <c:pt idx="100">
                  <c:v>169.83650216417544</c:v>
                </c:pt>
                <c:pt idx="101">
                  <c:v>171.29434883354003</c:v>
                </c:pt>
                <c:pt idx="102">
                  <c:v>172.75012056700263</c:v>
                </c:pt>
                <c:pt idx="103">
                  <c:v>174.20370686139827</c:v>
                </c:pt>
                <c:pt idx="104">
                  <c:v>175.65499811023324</c:v>
                </c:pt>
                <c:pt idx="105">
                  <c:v>177.10388561082385</c:v>
                </c:pt>
                <c:pt idx="106">
                  <c:v>178.55026157121279</c:v>
                </c:pt>
                <c:pt idx="107">
                  <c:v>179.99401911686397</c:v>
                </c:pt>
                <c:pt idx="108">
                  <c:v>181.43505229713509</c:v>
                </c:pt>
                <c:pt idx="109">
                  <c:v>182.87325609153154</c:v>
                </c:pt>
                <c:pt idx="110">
                  <c:v>184.30852641573853</c:v>
                </c:pt>
                <c:pt idx="111">
                  <c:v>185.74076012743564</c:v>
                </c:pt>
                <c:pt idx="112">
                  <c:v>187.16985503189278</c:v>
                </c:pt>
                <c:pt idx="113">
                  <c:v>188.59570988734887</c:v>
                </c:pt>
                <c:pt idx="114">
                  <c:v>190.01822441017472</c:v>
                </c:pt>
                <c:pt idx="115">
                  <c:v>191.43729927982045</c:v>
                </c:pt>
                <c:pt idx="116">
                  <c:v>192.85283614354873</c:v>
                </c:pt>
                <c:pt idx="117">
                  <c:v>194.26473762095566</c:v>
                </c:pt>
                <c:pt idx="118">
                  <c:v>195.67290730827924</c:v>
                </c:pt>
                <c:pt idx="119">
                  <c:v>197.07724978249786</c:v>
                </c:pt>
                <c:pt idx="120">
                  <c:v>198.47767060521912</c:v>
                </c:pt>
                <c:pt idx="121">
                  <c:v>199.87407632636169</c:v>
                </c:pt>
                <c:pt idx="122">
                  <c:v>201.26637448762898</c:v>
                </c:pt>
                <c:pt idx="123">
                  <c:v>202.65447362577984</c:v>
                </c:pt>
                <c:pt idx="124">
                  <c:v>204.03828327569408</c:v>
                </c:pt>
                <c:pt idx="125">
                  <c:v>205.41771397323677</c:v>
                </c:pt>
                <c:pt idx="126">
                  <c:v>206.79267725792158</c:v>
                </c:pt>
                <c:pt idx="127">
                  <c:v>208.16308567537564</c:v>
                </c:pt>
                <c:pt idx="128">
                  <c:v>209.52885277960669</c:v>
                </c:pt>
                <c:pt idx="129">
                  <c:v>210.88989313507508</c:v>
                </c:pt>
                <c:pt idx="130">
                  <c:v>212.24612231857137</c:v>
                </c:pt>
                <c:pt idx="131">
                  <c:v>213.59745692090269</c:v>
                </c:pt>
                <c:pt idx="132">
                  <c:v>214.94381454838739</c:v>
                </c:pt>
                <c:pt idx="133">
                  <c:v>216.28511382416303</c:v>
                </c:pt>
                <c:pt idx="134">
                  <c:v>217.62127438930563</c:v>
                </c:pt>
                <c:pt idx="135">
                  <c:v>218.95221690376596</c:v>
                </c:pt>
                <c:pt idx="136">
                  <c:v>220.27786304712211</c:v>
                </c:pt>
                <c:pt idx="137">
                  <c:v>221.59813551915093</c:v>
                </c:pt>
                <c:pt idx="138">
                  <c:v>222.91295804022096</c:v>
                </c:pt>
                <c:pt idx="139">
                  <c:v>224.22225535150878</c:v>
                </c:pt>
                <c:pt idx="140">
                  <c:v>225.52595321503946</c:v>
                </c:pt>
                <c:pt idx="141">
                  <c:v>226.82397841355493</c:v>
                </c:pt>
                <c:pt idx="142">
                  <c:v>228.11625875021159</c:v>
                </c:pt>
                <c:pt idx="143">
                  <c:v>229.4027230481083</c:v>
                </c:pt>
                <c:pt idx="144">
                  <c:v>230.68330114964945</c:v>
                </c:pt>
                <c:pt idx="145">
                  <c:v>231.95792391574182</c:v>
                </c:pt>
                <c:pt idx="146">
                  <c:v>233.22652322483023</c:v>
                </c:pt>
                <c:pt idx="147">
                  <c:v>234.48903197177336</c:v>
                </c:pt>
                <c:pt idx="148">
                  <c:v>235.74538406656029</c:v>
                </c:pt>
                <c:pt idx="149">
                  <c:v>236.99551443287308</c:v>
                </c:pt>
                <c:pt idx="150">
                  <c:v>238.23935900649468</c:v>
                </c:pt>
                <c:pt idx="151">
                  <c:v>239.47710198068341</c:v>
                </c:pt>
                <c:pt idx="152">
                  <c:v>240.70893061252602</c:v>
                </c:pt>
                <c:pt idx="153">
                  <c:v>241.9347864028135</c:v>
                </c:pt>
                <c:pt idx="154">
                  <c:v>243.15461176931689</c:v>
                </c:pt>
                <c:pt idx="155">
                  <c:v>244.36835004494375</c:v>
                </c:pt>
                <c:pt idx="156">
                  <c:v>245.57594547576758</c:v>
                </c:pt>
                <c:pt idx="157">
                  <c:v>246.77734321893254</c:v>
                </c:pt>
                <c:pt idx="158">
                  <c:v>247.97248934043486</c:v>
                </c:pt>
                <c:pt idx="159">
                  <c:v>249.16133081278406</c:v>
                </c:pt>
                <c:pt idx="160">
                  <c:v>250.34381551254441</c:v>
                </c:pt>
                <c:pt idx="161">
                  <c:v>251.51989221776034</c:v>
                </c:pt>
                <c:pt idx="162">
                  <c:v>252.68951060526587</c:v>
                </c:pt>
                <c:pt idx="163">
                  <c:v>253.85262124788281</c:v>
                </c:pt>
                <c:pt idx="164">
                  <c:v>255.00917561150618</c:v>
                </c:pt>
                <c:pt idx="165">
                  <c:v>256.15912605208251</c:v>
                </c:pt>
                <c:pt idx="166">
                  <c:v>257.30242581247984</c:v>
                </c:pt>
                <c:pt idx="167">
                  <c:v>258.43902901925412</c:v>
                </c:pt>
                <c:pt idx="168">
                  <c:v>259.5688906793124</c:v>
                </c:pt>
                <c:pt idx="169">
                  <c:v>260.6919666764752</c:v>
                </c:pt>
                <c:pt idx="170">
                  <c:v>261.80821376793944</c:v>
                </c:pt>
                <c:pt idx="171">
                  <c:v>262.91758958064696</c:v>
                </c:pt>
                <c:pt idx="172">
                  <c:v>264.0200526075551</c:v>
                </c:pt>
                <c:pt idx="173">
                  <c:v>265.11556220381777</c:v>
                </c:pt>
                <c:pt idx="174">
                  <c:v>266.20407858287319</c:v>
                </c:pt>
                <c:pt idx="175">
                  <c:v>267.28556281244494</c:v>
                </c:pt>
                <c:pt idx="176">
                  <c:v>268.35997681045512</c:v>
                </c:pt>
                <c:pt idx="177">
                  <c:v>269.42728334085336</c:v>
                </c:pt>
                <c:pt idx="178">
                  <c:v>270.48744600936311</c:v>
                </c:pt>
                <c:pt idx="179">
                  <c:v>271.54042925914695</c:v>
                </c:pt>
                <c:pt idx="180">
                  <c:v>272.58619836639338</c:v>
                </c:pt>
                <c:pt idx="181">
                  <c:v>273.62471943582727</c:v>
                </c:pt>
                <c:pt idx="182">
                  <c:v>274.65595939614377</c:v>
                </c:pt>
                <c:pt idx="183">
                  <c:v>275.6798859953721</c:v>
                </c:pt>
                <c:pt idx="184">
                  <c:v>276.69646779616517</c:v>
                </c:pt>
                <c:pt idx="185">
                  <c:v>277.70567417102365</c:v>
                </c:pt>
                <c:pt idx="186">
                  <c:v>278.70747529745</c:v>
                </c:pt>
                <c:pt idx="187">
                  <c:v>279.70184215303817</c:v>
                </c:pt>
                <c:pt idx="188">
                  <c:v>280.68874651050135</c:v>
                </c:pt>
                <c:pt idx="189">
                  <c:v>281.66816093263674</c:v>
                </c:pt>
                <c:pt idx="190">
                  <c:v>282.64005876723058</c:v>
                </c:pt>
                <c:pt idx="191">
                  <c:v>283.60441414190734</c:v>
                </c:pt>
                <c:pt idx="192">
                  <c:v>284.56120195892055</c:v>
                </c:pt>
                <c:pt idx="193">
                  <c:v>285.51039788989226</c:v>
                </c:pt>
                <c:pt idx="194">
                  <c:v>286.45197837049767</c:v>
                </c:pt>
                <c:pt idx="195">
                  <c:v>287.3859205951016</c:v>
                </c:pt>
                <c:pt idx="196">
                  <c:v>288.31220251134425</c:v>
                </c:pt>
                <c:pt idx="197">
                  <c:v>289.23080281468236</c:v>
                </c:pt>
                <c:pt idx="198">
                  <c:v>290.14170094288335</c:v>
                </c:pt>
                <c:pt idx="199">
                  <c:v>291.04487707047718</c:v>
                </c:pt>
                <c:pt idx="200">
                  <c:v>291.94031210316587</c:v>
                </c:pt>
                <c:pt idx="201">
                  <c:v>292.82798767219407</c:v>
                </c:pt>
                <c:pt idx="202">
                  <c:v>293.70788612868046</c:v>
                </c:pt>
                <c:pt idx="203">
                  <c:v>294.57999053791252</c:v>
                </c:pt>
                <c:pt idx="204">
                  <c:v>295.44428467360802</c:v>
                </c:pt>
                <c:pt idx="205">
                  <c:v>296.30075301214072</c:v>
                </c:pt>
                <c:pt idx="206">
                  <c:v>297.14938072673698</c:v>
                </c:pt>
                <c:pt idx="207">
                  <c:v>297.99015368164004</c:v>
                </c:pt>
                <c:pt idx="208">
                  <c:v>298.823058426248</c:v>
                </c:pt>
                <c:pt idx="209">
                  <c:v>299.64808218922337</c:v>
                </c:pt>
                <c:pt idx="210">
                  <c:v>300.46521287257798</c:v>
                </c:pt>
                <c:pt idx="211">
                  <c:v>301.27443904573391</c:v>
                </c:pt>
                <c:pt idx="212">
                  <c:v>302.07574993956263</c:v>
                </c:pt>
                <c:pt idx="213">
                  <c:v>302.86913544040254</c:v>
                </c:pt>
                <c:pt idx="214">
                  <c:v>303.65458608405822</c:v>
                </c:pt>
                <c:pt idx="215">
                  <c:v>304.43209304978086</c:v>
                </c:pt>
                <c:pt idx="216">
                  <c:v>305.20164815423288</c:v>
                </c:pt>
                <c:pt idx="217">
                  <c:v>305.9632438454376</c:v>
                </c:pt>
                <c:pt idx="218">
                  <c:v>306.71687319671577</c:v>
                </c:pt>
                <c:pt idx="219">
                  <c:v>307.46252990060822</c:v>
                </c:pt>
                <c:pt idx="220">
                  <c:v>308.20020826278994</c:v>
                </c:pt>
                <c:pt idx="221">
                  <c:v>308.92990319597328</c:v>
                </c:pt>
                <c:pt idx="222">
                  <c:v>309.65161021380328</c:v>
                </c:pt>
                <c:pt idx="223">
                  <c:v>310.3653254247464</c:v>
                </c:pt>
                <c:pt idx="224">
                  <c:v>311.07104552597303</c:v>
                </c:pt>
                <c:pt idx="225">
                  <c:v>311.76876779723762</c:v>
                </c:pt>
                <c:pt idx="226">
                  <c:v>312.45849009475251</c:v>
                </c:pt>
                <c:pt idx="227">
                  <c:v>313.14021084506288</c:v>
                </c:pt>
                <c:pt idx="228">
                  <c:v>313.81392903892038</c:v>
                </c:pt>
                <c:pt idx="229">
                  <c:v>314.47964422515594</c:v>
                </c:pt>
                <c:pt idx="230">
                  <c:v>315.13735650455567</c:v>
                </c:pt>
                <c:pt idx="231">
                  <c:v>315.78706652373995</c:v>
                </c:pt>
                <c:pt idx="232">
                  <c:v>316.42877546904538</c:v>
                </c:pt>
                <c:pt idx="233">
                  <c:v>317.06248506041163</c:v>
                </c:pt>
                <c:pt idx="234">
                  <c:v>317.68819754527715</c:v>
                </c:pt>
                <c:pt idx="235">
                  <c:v>318.3059156924781</c:v>
                </c:pt>
                <c:pt idx="236">
                  <c:v>318.91564278615942</c:v>
                </c:pt>
                <c:pt idx="237">
                  <c:v>319.51738261969246</c:v>
                </c:pt>
                <c:pt idx="238">
                  <c:v>320.11113948960457</c:v>
                </c:pt>
                <c:pt idx="239">
                  <c:v>320.69691818951929</c:v>
                </c:pt>
                <c:pt idx="240">
                  <c:v>321.27472400410977</c:v>
                </c:pt>
                <c:pt idx="241">
                  <c:v>321.84456270306288</c:v>
                </c:pt>
                <c:pt idx="242">
                  <c:v>322.40644053506247</c:v>
                </c:pt>
                <c:pt idx="243">
                  <c:v>322.96036422178179</c:v>
                </c:pt>
                <c:pt idx="244">
                  <c:v>323.50634095189622</c:v>
                </c:pt>
                <c:pt idx="245">
                  <c:v>324.04437837511102</c:v>
                </c:pt>
                <c:pt idx="246">
                  <c:v>324.57448459620792</c:v>
                </c:pt>
                <c:pt idx="247">
                  <c:v>325.09666816910806</c:v>
                </c:pt>
                <c:pt idx="248">
                  <c:v>325.61093809095797</c:v>
                </c:pt>
                <c:pt idx="249">
                  <c:v>326.11730379623128</c:v>
                </c:pt>
                <c:pt idx="250">
                  <c:v>326.6157751508552</c:v>
                </c:pt>
                <c:pt idx="251">
                  <c:v>327.10510899161216</c:v>
                </c:pt>
                <c:pt idx="252">
                  <c:v>327.58406311316855</c:v>
                </c:pt>
                <c:pt idx="253">
                  <c:v>328.05265264007403</c:v>
                </c:pt>
                <c:pt idx="254">
                  <c:v>328.51089336705002</c:v>
                </c:pt>
                <c:pt idx="255">
                  <c:v>328.95880174925327</c:v>
                </c:pt>
                <c:pt idx="256">
                  <c:v>329.39639489258263</c:v>
                </c:pt>
                <c:pt idx="257">
                  <c:v>329.82369054402477</c:v>
                </c:pt>
                <c:pt idx="258">
                  <c:v>330.24070708204567</c:v>
                </c:pt>
                <c:pt idx="259">
                  <c:v>330.64746350702308</c:v>
                </c:pt>
                <c:pt idx="260">
                  <c:v>331.0439794317283</c:v>
                </c:pt>
                <c:pt idx="261">
                  <c:v>331.43027507185025</c:v>
                </c:pt>
                <c:pt idx="262">
                  <c:v>331.80637123657272</c:v>
                </c:pt>
                <c:pt idx="263">
                  <c:v>332.17228931919664</c:v>
                </c:pt>
                <c:pt idx="264">
                  <c:v>332.52805128781529</c:v>
                </c:pt>
                <c:pt idx="265">
                  <c:v>332.87367967604047</c:v>
                </c:pt>
                <c:pt idx="266">
                  <c:v>333.2091975737809</c:v>
                </c:pt>
                <c:pt idx="267">
                  <c:v>333.53462861807515</c:v>
                </c:pt>
                <c:pt idx="268">
                  <c:v>333.84999698397871</c:v>
                </c:pt>
                <c:pt idx="269">
                  <c:v>334.15532737550728</c:v>
                </c:pt>
                <c:pt idx="270">
                  <c:v>334.45064501663711</c:v>
                </c:pt>
                <c:pt idx="271">
                  <c:v>334.7359756423615</c:v>
                </c:pt>
                <c:pt idx="272">
                  <c:v>335.01134548980832</c:v>
                </c:pt>
                <c:pt idx="273">
                  <c:v>335.27678128941506</c:v>
                </c:pt>
                <c:pt idx="274">
                  <c:v>335.53231025616412</c:v>
                </c:pt>
                <c:pt idx="275">
                  <c:v>335.7779600808808</c:v>
                </c:pt>
                <c:pt idx="276">
                  <c:v>336.01375892159155</c:v>
                </c:pt>
                <c:pt idx="277">
                  <c:v>336.23973539494654</c:v>
                </c:pt>
                <c:pt idx="278">
                  <c:v>336.45591856770119</c:v>
                </c:pt>
                <c:pt idx="279">
                  <c:v>336.662337948269</c:v>
                </c:pt>
                <c:pt idx="280">
                  <c:v>336.85902347833201</c:v>
                </c:pt>
                <c:pt idx="281">
                  <c:v>337.04600552452018</c:v>
                </c:pt>
                <c:pt idx="282">
                  <c:v>337.22331487015595</c:v>
                </c:pt>
                <c:pt idx="283">
                  <c:v>337.39098270706427</c:v>
                </c:pt>
                <c:pt idx="284">
                  <c:v>337.54904062745089</c:v>
                </c:pt>
                <c:pt idx="285">
                  <c:v>337.69752061584717</c:v>
                </c:pt>
                <c:pt idx="286">
                  <c:v>337.8364550411232</c:v>
                </c:pt>
                <c:pt idx="287">
                  <c:v>337.96587664856838</c:v>
                </c:pt>
                <c:pt idx="288">
                  <c:v>338.08581855204289</c:v>
                </c:pt>
                <c:pt idx="289">
                  <c:v>338.19631422619545</c:v>
                </c:pt>
                <c:pt idx="290">
                  <c:v>338.29739749875318</c:v>
                </c:pt>
                <c:pt idx="291">
                  <c:v>338.38910254287987</c:v>
                </c:pt>
                <c:pt idx="292">
                  <c:v>338.47146386960532</c:v>
                </c:pt>
                <c:pt idx="293">
                  <c:v>338.54451632032408</c:v>
                </c:pt>
                <c:pt idx="294">
                  <c:v>338.60829505936664</c:v>
                </c:pt>
                <c:pt idx="295">
                  <c:v>338.66283556663979</c:v>
                </c:pt>
                <c:pt idx="296">
                  <c:v>338.70817363034087</c:v>
                </c:pt>
                <c:pt idx="297">
                  <c:v>338.74434533974005</c:v>
                </c:pt>
                <c:pt idx="298">
                  <c:v>338.75738058304501</c:v>
                </c:pt>
                <c:pt idx="299">
                  <c:v>338.73336454570898</c:v>
                </c:pt>
                <c:pt idx="300">
                  <c:v>338.67245587432797</c:v>
                </c:pt>
                <c:pt idx="301">
                  <c:v>338.57481947372628</c:v>
                </c:pt>
                <c:pt idx="302">
                  <c:v>338.44062638547086</c:v>
                </c:pt>
                <c:pt idx="303">
                  <c:v>338.27005366709898</c:v>
                </c:pt>
                <c:pt idx="304">
                  <c:v>338.063284272109</c:v>
                </c:pt>
                <c:pt idx="305">
                  <c:v>337.82050693074831</c:v>
                </c:pt>
                <c:pt idx="306">
                  <c:v>337.54191603164838</c:v>
                </c:pt>
                <c:pt idx="307">
                  <c:v>337.22771150433988</c:v>
                </c:pt>
                <c:pt idx="308">
                  <c:v>336.87809870268887</c:v>
                </c:pt>
                <c:pt idx="309">
                  <c:v>336.49328828929214</c:v>
                </c:pt>
                <c:pt idx="310">
                  <c:v>336.07349612086193</c:v>
                </c:pt>
                <c:pt idx="311">
                  <c:v>335.61894313463972</c:v>
                </c:pt>
                <c:pt idx="312">
                  <c:v>335.1298552358665</c:v>
                </c:pt>
                <c:pt idx="313">
                  <c:v>334.60646318634315</c:v>
                </c:pt>
                <c:pt idx="314">
                  <c:v>334.04900249410878</c:v>
                </c:pt>
                <c:pt idx="315">
                  <c:v>333.45771330426743</c:v>
                </c:pt>
                <c:pt idx="316">
                  <c:v>332.83284029098473</c:v>
                </c:pt>
                <c:pt idx="317">
                  <c:v>332.17463255068719</c:v>
                </c:pt>
                <c:pt idx="318">
                  <c:v>331.48334349648121</c:v>
                </c:pt>
                <c:pt idx="319">
                  <c:v>330.75923075381957</c:v>
                </c:pt>
                <c:pt idx="320">
                  <c:v>330.00255605743394</c:v>
                </c:pt>
                <c:pt idx="321">
                  <c:v>329.21907065988103</c:v>
                </c:pt>
                <c:pt idx="322">
                  <c:v>328.41447731408476</c:v>
                </c:pt>
                <c:pt idx="323">
                  <c:v>327.58895555766475</c:v>
                </c:pt>
                <c:pt idx="324">
                  <c:v>326.74268619236852</c:v>
                </c:pt>
                <c:pt idx="325">
                  <c:v>325.8758512447767</c:v>
                </c:pt>
                <c:pt idx="326">
                  <c:v>324.98863392765816</c:v>
                </c:pt>
                <c:pt idx="327">
                  <c:v>324.08121860197809</c:v>
                </c:pt>
                <c:pt idx="328">
                  <c:v>323.15379073955575</c:v>
                </c:pt>
                <c:pt idx="329">
                  <c:v>322.20653688637225</c:v>
                </c:pt>
                <c:pt idx="330">
                  <c:v>321.23964462652646</c:v>
                </c:pt>
                <c:pt idx="331">
                  <c:v>320.25330254684212</c:v>
                </c:pt>
                <c:pt idx="332">
                  <c:v>319.24770020211753</c:v>
                </c:pt>
                <c:pt idx="333">
                  <c:v>318.22302808102268</c:v>
                </c:pt>
                <c:pt idx="334">
                  <c:v>317.17947757263926</c:v>
                </c:pt>
                <c:pt idx="335">
                  <c:v>316.11724093364199</c:v>
                </c:pt>
                <c:pt idx="336">
                  <c:v>315.03651125611759</c:v>
                </c:pt>
                <c:pt idx="337">
                  <c:v>313.93748243602329</c:v>
                </c:pt>
                <c:pt idx="338">
                  <c:v>312.82034914227694</c:v>
                </c:pt>
                <c:pt idx="339">
                  <c:v>311.68530678647943</c:v>
                </c:pt>
                <c:pt idx="340">
                  <c:v>310.53255149326753</c:v>
                </c:pt>
                <c:pt idx="341">
                  <c:v>309.36228007128881</c:v>
                </c:pt>
                <c:pt idx="342">
                  <c:v>308.17468998480268</c:v>
                </c:pt>
                <c:pt idx="343">
                  <c:v>306.96997932589795</c:v>
                </c:pt>
                <c:pt idx="344">
                  <c:v>305.74834678732697</c:v>
                </c:pt>
                <c:pt idx="345">
                  <c:v>304.5099916359527</c:v>
                </c:pt>
                <c:pt idx="346">
                  <c:v>303.25511368680264</c:v>
                </c:pt>
                <c:pt idx="347">
                  <c:v>301.98391327772873</c:v>
                </c:pt>
                <c:pt idx="348">
                  <c:v>300.69715511735575</c:v>
                </c:pt>
                <c:pt idx="349">
                  <c:v>299.39559669476398</c:v>
                </c:pt>
                <c:pt idx="350">
                  <c:v>298.07942681326881</c:v>
                </c:pt>
                <c:pt idx="351">
                  <c:v>296.74883457728049</c:v>
                </c:pt>
                <c:pt idx="352">
                  <c:v>295.4040093735527</c:v>
                </c:pt>
                <c:pt idx="353">
                  <c:v>294.04514085293681</c:v>
                </c:pt>
                <c:pt idx="354">
                  <c:v>292.67241891263859</c:v>
                </c:pt>
                <c:pt idx="355">
                  <c:v>291.28603367897017</c:v>
                </c:pt>
                <c:pt idx="356">
                  <c:v>289.8861754905966</c:v>
                </c:pt>
                <c:pt idx="357">
                  <c:v>288.47303488226953</c:v>
                </c:pt>
                <c:pt idx="358">
                  <c:v>287.04680256904487</c:v>
                </c:pt>
                <c:pt idx="359">
                  <c:v>285.6076694309798</c:v>
                </c:pt>
                <c:pt idx="360">
                  <c:v>284.16720857049222</c:v>
                </c:pt>
                <c:pt idx="361">
                  <c:v>282.73681960129096</c:v>
                </c:pt>
                <c:pt idx="362">
                  <c:v>281.31640826675118</c:v>
                </c:pt>
                <c:pt idx="363">
                  <c:v>279.90588141674579</c:v>
                </c:pt>
                <c:pt idx="364">
                  <c:v>278.50514699204098</c:v>
                </c:pt>
                <c:pt idx="365">
                  <c:v>277.11411400894769</c:v>
                </c:pt>
                <c:pt idx="366">
                  <c:v>275.73269254422627</c:v>
                </c:pt>
                <c:pt idx="367">
                  <c:v>274.3607937202375</c:v>
                </c:pt>
                <c:pt idx="368">
                  <c:v>272.99832969033605</c:v>
                </c:pt>
                <c:pt idx="369">
                  <c:v>271.64521362450273</c:v>
                </c:pt>
                <c:pt idx="370">
                  <c:v>270.30135969521098</c:v>
                </c:pt>
                <c:pt idx="371">
                  <c:v>268.96668306352035</c:v>
                </c:pt>
                <c:pt idx="372">
                  <c:v>267.64109986539677</c:v>
                </c:pt>
                <c:pt idx="373">
                  <c:v>266.32452719825426</c:v>
                </c:pt>
                <c:pt idx="374">
                  <c:v>265.01688310771215</c:v>
                </c:pt>
                <c:pt idx="375">
                  <c:v>263.7180865745654</c:v>
                </c:pt>
                <c:pt idx="376">
                  <c:v>262.42805750196408</c:v>
                </c:pt>
                <c:pt idx="377">
                  <c:v>261.14671670279893</c:v>
                </c:pt>
                <c:pt idx="378">
                  <c:v>259.87398588728576</c:v>
                </c:pt>
                <c:pt idx="379">
                  <c:v>258.60978765075015</c:v>
                </c:pt>
                <c:pt idx="380">
                  <c:v>257.35404546160453</c:v>
                </c:pt>
                <c:pt idx="381">
                  <c:v>256.10668364951744</c:v>
                </c:pt>
                <c:pt idx="382">
                  <c:v>254.86762739376718</c:v>
                </c:pt>
                <c:pt idx="383">
                  <c:v>253.63680271178276</c:v>
                </c:pt>
                <c:pt idx="384">
                  <c:v>252.41413644786212</c:v>
                </c:pt>
                <c:pt idx="385">
                  <c:v>251.19955626206934</c:v>
                </c:pt>
                <c:pt idx="386">
                  <c:v>249.99299061930574</c:v>
                </c:pt>
                <c:pt idx="387">
                  <c:v>248.79436877855025</c:v>
                </c:pt>
                <c:pt idx="388">
                  <c:v>247.60362078226967</c:v>
                </c:pt>
                <c:pt idx="389">
                  <c:v>246.4206774459935</c:v>
                </c:pt>
                <c:pt idx="390">
                  <c:v>245.24547034804834</c:v>
                </c:pt>
                <c:pt idx="391">
                  <c:v>244.07793181945496</c:v>
                </c:pt>
                <c:pt idx="392">
                  <c:v>242.91799493397812</c:v>
                </c:pt>
                <c:pt idx="393">
                  <c:v>241.76559349833252</c:v>
                </c:pt>
                <c:pt idx="394">
                  <c:v>240.62066204253819</c:v>
                </c:pt>
                <c:pt idx="395">
                  <c:v>239.48313581042328</c:v>
                </c:pt>
                <c:pt idx="396">
                  <c:v>238.3529507502746</c:v>
                </c:pt>
                <c:pt idx="397">
                  <c:v>237.23004350562911</c:v>
                </c:pt>
                <c:pt idx="398">
                  <c:v>236.11435140620674</c:v>
                </c:pt>
                <c:pt idx="399">
                  <c:v>235.0058124589803</c:v>
                </c:pt>
                <c:pt idx="400">
                  <c:v>233.90436533938313</c:v>
                </c:pt>
                <c:pt idx="401">
                  <c:v>223.09307691150698</c:v>
                </c:pt>
                <c:pt idx="402">
                  <c:v>212.95314194433155</c:v>
                </c:pt>
                <c:pt idx="403">
                  <c:v>203.42965299804109</c:v>
                </c:pt>
                <c:pt idx="404">
                  <c:v>194.4732524094575</c:v>
                </c:pt>
                <c:pt idx="405">
                  <c:v>186.03946881849424</c:v>
                </c:pt>
                <c:pt idx="406">
                  <c:v>178.08814481613709</c:v>
                </c:pt>
                <c:pt idx="407">
                  <c:v>170.58294163905242</c:v>
                </c:pt>
                <c:pt idx="408">
                  <c:v>163.4909092420759</c:v>
                </c:pt>
                <c:pt idx="409">
                  <c:v>156.78211203640657</c:v>
                </c:pt>
                <c:pt idx="410">
                  <c:v>150.42930217922668</c:v>
                </c:pt>
                <c:pt idx="411">
                  <c:v>144.40763361085334</c:v>
                </c:pt>
                <c:pt idx="412">
                  <c:v>138.69441111440037</c:v>
                </c:pt>
                <c:pt idx="413">
                  <c:v>133.26886956459387</c:v>
                </c:pt>
                <c:pt idx="414">
                  <c:v>128.11197927203028</c:v>
                </c:pt>
                <c:pt idx="415">
                  <c:v>123.20627394487754</c:v>
                </c:pt>
                <c:pt idx="416">
                  <c:v>118.53569830430314</c:v>
                </c:pt>
                <c:pt idx="417">
                  <c:v>114.0854728208883</c:v>
                </c:pt>
                <c:pt idx="418">
                  <c:v>109.84197340158566</c:v>
                </c:pt>
                <c:pt idx="419">
                  <c:v>105.79262416227137</c:v>
                </c:pt>
                <c:pt idx="420">
                  <c:v>101.92580167929601</c:v>
                </c:pt>
                <c:pt idx="421">
                  <c:v>98.230749332545727</c:v>
                </c:pt>
                <c:pt idx="422">
                  <c:v>94.697500538854371</c:v>
                </c:pt>
                <c:pt idx="423">
                  <c:v>91.316809833488435</c:v>
                </c:pt>
                <c:pt idx="424">
                  <c:v>88.080090893245256</c:v>
                </c:pt>
                <c:pt idx="425">
                  <c:v>84.97936071110054</c:v>
                </c:pt>
                <c:pt idx="426">
                  <c:v>82.007189232328315</c:v>
                </c:pt>
                <c:pt idx="427">
                  <c:v>79.156653848113137</c:v>
                </c:pt>
                <c:pt idx="428">
                  <c:v>76.421298216972474</c:v>
                </c:pt>
                <c:pt idx="429">
                  <c:v>73.795094948567765</c:v>
                </c:pt>
                <c:pt idx="430">
                  <c:v>71.272411740179649</c:v>
                </c:pt>
                <c:pt idx="431">
                  <c:v>68.847980604496271</c:v>
                </c:pt>
                <c:pt idx="432">
                  <c:v>66.516869869458986</c:v>
                </c:pt>
                <c:pt idx="433">
                  <c:v>64.274458667620635</c:v>
                </c:pt>
                <c:pt idx="434">
                  <c:v>62.116413664535358</c:v>
                </c:pt>
                <c:pt idx="435">
                  <c:v>60.03866780376817</c:v>
                </c:pt>
                <c:pt idx="436">
                  <c:v>58.037400870719559</c:v>
                </c:pt>
                <c:pt idx="437">
                  <c:v>56.109021699075313</c:v>
                </c:pt>
                <c:pt idx="438">
                  <c:v>54.250151862706844</c:v>
                </c:pt>
                <c:pt idx="439">
                  <c:v>52.457610712608208</c:v>
                </c:pt>
                <c:pt idx="440">
                  <c:v>50.728401633245888</c:v>
                </c:pt>
                <c:pt idx="441">
                  <c:v>49.059699405777998</c:v>
                </c:pt>
                <c:pt idx="442">
                  <c:v>47.44883857717781</c:v>
                </c:pt>
                <c:pt idx="443">
                  <c:v>45.893302744564991</c:v>
                </c:pt>
                <c:pt idx="444">
                  <c:v>44.390714673167473</c:v>
                </c:pt>
                <c:pt idx="445">
                  <c:v>42.938827174446047</c:v>
                </c:pt>
                <c:pt idx="446">
                  <c:v>41.535514678135598</c:v>
                </c:pt>
                <c:pt idx="447">
                  <c:v>40.178765438397761</c:v>
                </c:pt>
                <c:pt idx="448">
                  <c:v>38.866674320030029</c:v>
                </c:pt>
                <c:pt idx="449">
                  <c:v>37.597436115818432</c:v>
                </c:pt>
                <c:pt idx="450">
                  <c:v>36.369339350723848</c:v>
                </c:pt>
                <c:pt idx="451">
                  <c:v>35.180760532718139</c:v>
                </c:pt>
                <c:pt idx="452">
                  <c:v>34.030158813788645</c:v>
                </c:pt>
                <c:pt idx="453">
                  <c:v>32.916071027956512</c:v>
                </c:pt>
                <c:pt idx="454">
                  <c:v>31.837107076146804</c:v>
                </c:pt>
                <c:pt idx="455">
                  <c:v>30.791945630443589</c:v>
                </c:pt>
                <c:pt idx="456">
                  <c:v>29.779330132691694</c:v>
                </c:pt>
                <c:pt idx="457">
                  <c:v>28.798065064600706</c:v>
                </c:pt>
                <c:pt idx="458">
                  <c:v>27.847012468487147</c:v>
                </c:pt>
                <c:pt idx="459">
                  <c:v>26.925088699582417</c:v>
                </c:pt>
                <c:pt idx="460">
                  <c:v>26.031261392456305</c:v>
                </c:pt>
                <c:pt idx="461">
                  <c:v>25.164546625576058</c:v>
                </c:pt>
                <c:pt idx="462">
                  <c:v>24.324006269353742</c:v>
                </c:pt>
                <c:pt idx="463">
                  <c:v>23.508745504246146</c:v>
                </c:pt>
                <c:pt idx="464">
                  <c:v>22.717910496571395</c:v>
                </c:pt>
                <c:pt idx="465">
                  <c:v>21.950686220707546</c:v>
                </c:pt>
                <c:pt idx="466">
                  <c:v>21.206294417249921</c:v>
                </c:pt>
                <c:pt idx="467">
                  <c:v>20.483991677534323</c:v>
                </c:pt>
                <c:pt idx="468">
                  <c:v>19.783067645691059</c:v>
                </c:pt>
                <c:pt idx="469">
                  <c:v>19.102843330085967</c:v>
                </c:pt>
                <c:pt idx="470">
                  <c:v>18.442669516636759</c:v>
                </c:pt>
                <c:pt idx="471">
                  <c:v>17.801925277070435</c:v>
                </c:pt>
                <c:pt idx="472">
                  <c:v>17.180016565716226</c:v>
                </c:pt>
                <c:pt idx="473">
                  <c:v>16.576374898912857</c:v>
                </c:pt>
                <c:pt idx="474">
                  <c:v>15.99045611155247</c:v>
                </c:pt>
                <c:pt idx="475">
                  <c:v>15.421739185690322</c:v>
                </c:pt>
                <c:pt idx="476">
                  <c:v>14.869725146523523</c:v>
                </c:pt>
                <c:pt idx="477">
                  <c:v>14.333936021384433</c:v>
                </c:pt>
                <c:pt idx="478">
                  <c:v>13.813913857710137</c:v>
                </c:pt>
                <c:pt idx="479">
                  <c:v>13.309219796239262</c:v>
                </c:pt>
                <c:pt idx="480">
                  <c:v>12.819433195954414</c:v>
                </c:pt>
                <c:pt idx="481">
                  <c:v>12.344150807534037</c:v>
                </c:pt>
                <c:pt idx="482">
                  <c:v>11.882985992304233</c:v>
                </c:pt>
                <c:pt idx="483">
                  <c:v>11.435567983889579</c:v>
                </c:pt>
                <c:pt idx="484">
                  <c:v>11.001541189954686</c:v>
                </c:pt>
                <c:pt idx="485">
                  <c:v>10.580564531605756</c:v>
                </c:pt>
                <c:pt idx="486">
                  <c:v>10.172310818185403</c:v>
                </c:pt>
                <c:pt idx="487">
                  <c:v>9.7764661553454424</c:v>
                </c:pt>
                <c:pt idx="488">
                  <c:v>9.3927293844220738</c:v>
                </c:pt>
                <c:pt idx="489">
                  <c:v>9.0208115512671441</c:v>
                </c:pt>
                <c:pt idx="490">
                  <c:v>8.6604354028083517</c:v>
                </c:pt>
                <c:pt idx="491">
                  <c:v>8.311334909721424</c:v>
                </c:pt>
                <c:pt idx="492">
                  <c:v>7.9732548136990316</c:v>
                </c:pt>
                <c:pt idx="493">
                  <c:v>7.6459501978949325</c:v>
                </c:pt>
                <c:pt idx="494">
                  <c:v>7.3291860792084087</c:v>
                </c:pt>
                <c:pt idx="495">
                  <c:v>7.0227370211535787</c:v>
                </c:pt>
                <c:pt idx="496">
                  <c:v>6.7263867661314354</c:v>
                </c:pt>
                <c:pt idx="497">
                  <c:v>6.4399278859895244</c:v>
                </c:pt>
                <c:pt idx="498">
                  <c:v>6.1631614498156146</c:v>
                </c:pt>
                <c:pt idx="499">
                  <c:v>5.8958967079675348</c:v>
                </c:pt>
                <c:pt idx="500">
                  <c:v>5.6379507913921429</c:v>
                </c:pt>
                <c:pt idx="501">
                  <c:v>5.3891484253319195</c:v>
                </c:pt>
                <c:pt idx="502">
                  <c:v>5.1493216565585769</c:v>
                </c:pt>
                <c:pt idx="503">
                  <c:v>4.9183095933088747</c:v>
                </c:pt>
                <c:pt idx="504">
                  <c:v>4.6959581571292528</c:v>
                </c:pt>
                <c:pt idx="505">
                  <c:v>4.4821198458623988</c:v>
                </c:pt>
                <c:pt idx="506">
                  <c:v>4.2766535070308205</c:v>
                </c:pt>
                <c:pt idx="507">
                  <c:v>4.0794241208898265</c:v>
                </c:pt>
                <c:pt idx="508">
                  <c:v>3.8903025924347698</c:v>
                </c:pt>
                <c:pt idx="509">
                  <c:v>3.7091655516553157</c:v>
                </c:pt>
                <c:pt idx="510">
                  <c:v>3.5358951613324399</c:v>
                </c:pt>
                <c:pt idx="511">
                  <c:v>3.3703789316721213</c:v>
                </c:pt>
                <c:pt idx="512">
                  <c:v>3.2125095410631141</c:v>
                </c:pt>
                <c:pt idx="513">
                  <c:v>3.0621846622350155</c:v>
                </c:pt>
                <c:pt idx="514">
                  <c:v>2.9193067930772636</c:v>
                </c:pt>
                <c:pt idx="515">
                  <c:v>2.7837830913601653</c:v>
                </c:pt>
                <c:pt idx="516">
                  <c:v>2.6555252125762778</c:v>
                </c:pt>
                <c:pt idx="517">
                  <c:v>2.5344491500954054</c:v>
                </c:pt>
                <c:pt idx="518">
                  <c:v>2.4204750768006282</c:v>
                </c:pt>
                <c:pt idx="519">
                  <c:v>2.3135271873480376</c:v>
                </c:pt>
                <c:pt idx="520">
                  <c:v>2.2135335401718472</c:v>
                </c:pt>
                <c:pt idx="521">
                  <c:v>2.1204258983424165</c:v>
                </c:pt>
                <c:pt idx="522">
                  <c:v>2.0341395683815864</c:v>
                </c:pt>
                <c:pt idx="523">
                  <c:v>1.9546132361520996</c:v>
                </c:pt>
                <c:pt idx="524">
                  <c:v>1.8817887989712505</c:v>
                </c:pt>
                <c:pt idx="525">
                  <c:v>1.8156111931586572</c:v>
                </c:pt>
                <c:pt idx="526">
                  <c:v>1.7560282163200518</c:v>
                </c:pt>
                <c:pt idx="527">
                  <c:v>1.7029903437978455</c:v>
                </c:pt>
                <c:pt idx="528">
                  <c:v>1.6564505388887776</c:v>
                </c:pt>
                <c:pt idx="529">
                  <c:v>1.6163640566400943</c:v>
                </c:pt>
                <c:pt idx="530">
                  <c:v>1.582688241286621</c:v>
                </c:pt>
                <c:pt idx="531">
                  <c:v>1.555382317675569</c:v>
                </c:pt>
                <c:pt idx="532">
                  <c:v>1.5344071773334067</c:v>
                </c:pt>
                <c:pt idx="533">
                  <c:v>1.5197251601447288</c:v>
                </c:pt>
                <c:pt idx="534">
                  <c:v>1.5112998329180378</c:v>
                </c:pt>
                <c:pt idx="535">
                  <c:v>1.5090957663871116</c:v>
                </c:pt>
                <c:pt idx="536">
                  <c:v>1.5130783124185139</c:v>
                </c:pt>
                <c:pt idx="537">
                  <c:v>1.5232133833478265</c:v>
                </c:pt>
                <c:pt idx="538">
                  <c:v>1.5394672354364407</c:v>
                </c:pt>
                <c:pt idx="539">
                  <c:v>1.5618062584212178</c:v>
                </c:pt>
                <c:pt idx="540">
                  <c:v>1.5901967730229494</c:v>
                </c:pt>
                <c:pt idx="541">
                  <c:v>1.6246048380957292</c:v>
                </c:pt>
                <c:pt idx="542">
                  <c:v>1.6649960688538128</c:v>
                </c:pt>
                <c:pt idx="543">
                  <c:v>1.7113354673250125</c:v>
                </c:pt>
                <c:pt idx="544">
                  <c:v>1.7635872658713414</c:v>
                </c:pt>
                <c:pt idx="545">
                  <c:v>1.8217147843086627</c:v>
                </c:pt>
                <c:pt idx="546">
                  <c:v>1.8856803008649037</c:v>
                </c:pt>
                <c:pt idx="547">
                  <c:v>1.9554449369539333</c:v>
                </c:pt>
                <c:pt idx="548">
                  <c:v>2.0309685555182577</c:v>
                </c:pt>
                <c:pt idx="549">
                  <c:v>2.1122096725120949</c:v>
                </c:pt>
                <c:pt idx="550">
                  <c:v>2.1991253809577889</c:v>
                </c:pt>
                <c:pt idx="551">
                  <c:v>2.2916712869101694</c:v>
                </c:pt>
                <c:pt idx="552">
                  <c:v>2.3898014566011216</c:v>
                </c:pt>
                <c:pt idx="553">
                  <c:v>2.4934683740047467</c:v>
                </c:pt>
                <c:pt idx="554">
                  <c:v>2.6026229080562708</c:v>
                </c:pt>
                <c:pt idx="555">
                  <c:v>2.7172142887698083</c:v>
                </c:pt>
                <c:pt idx="556">
                  <c:v>2.8371900915259354</c:v>
                </c:pt>
                <c:pt idx="557">
                  <c:v>2.9624962288355774</c:v>
                </c:pt>
                <c:pt idx="558">
                  <c:v>3.0930769489282848</c:v>
                </c:pt>
                <c:pt idx="559">
                  <c:v>3.2288748405575687</c:v>
                </c:pt>
                <c:pt idx="560">
                  <c:v>3.3698308434616893</c:v>
                </c:pt>
                <c:pt idx="561">
                  <c:v>3.5158842639632049</c:v>
                </c:pt>
                <c:pt idx="562">
                  <c:v>3.6669727952338471</c:v>
                </c:pt>
                <c:pt idx="563">
                  <c:v>3.8230325417920299</c:v>
                </c:pt>
                <c:pt idx="564">
                  <c:v>3.9839980478380963</c:v>
                </c:pt>
                <c:pt idx="565">
                  <c:v>4.1498023290672235</c:v>
                </c:pt>
                <c:pt idx="566">
                  <c:v>4.320376907631398</c:v>
                </c:pt>
                <c:pt idx="567">
                  <c:v>4.4956518499504785</c:v>
                </c:pt>
                <c:pt idx="568">
                  <c:v>4.6755558070979903</c:v>
                </c:pt>
                <c:pt idx="569">
                  <c:v>4.8600160575101841</c:v>
                </c:pt>
                <c:pt idx="570">
                  <c:v>5.0489585517874174</c:v>
                </c:pt>
                <c:pt idx="571">
                  <c:v>5.2423079593750002</c:v>
                </c:pt>
                <c:pt idx="572">
                  <c:v>5.4399877169269866</c:v>
                </c:pt>
                <c:pt idx="573">
                  <c:v>5.6419200781706049</c:v>
                </c:pt>
                <c:pt idx="574">
                  <c:v>5.848026165101941</c:v>
                </c:pt>
                <c:pt idx="575">
                  <c:v>6.0582260203548266</c:v>
                </c:pt>
                <c:pt idx="576">
                  <c:v>6.2724386605950349</c:v>
                </c:pt>
                <c:pt idx="577">
                  <c:v>6.4905821308010223</c:v>
                </c:pt>
                <c:pt idx="578">
                  <c:v>6.7125735593005853</c:v>
                </c:pt>
                <c:pt idx="579">
                  <c:v>6.938329213440154</c:v>
                </c:pt>
                <c:pt idx="580">
                  <c:v>7.1677645557701588</c:v>
                </c:pt>
                <c:pt idx="581">
                  <c:v>7.4007943006358712</c:v>
                </c:pt>
                <c:pt idx="582">
                  <c:v>7.6373324710687465</c:v>
                </c:pt>
                <c:pt idx="583">
                  <c:v>7.8772924558784156</c:v>
                </c:pt>
                <c:pt idx="584">
                  <c:v>8.1205870668500406</c:v>
                </c:pt>
                <c:pt idx="585">
                  <c:v>8.3671285959564017</c:v>
                </c:pt>
                <c:pt idx="586">
                  <c:v>8.6168288724979085</c:v>
                </c:pt>
                <c:pt idx="587">
                  <c:v>8.8695993200879251</c:v>
                </c:pt>
                <c:pt idx="588">
                  <c:v>9.125351013404174</c:v>
                </c:pt>
                <c:pt idx="589">
                  <c:v>9.383994734630793</c:v>
                </c:pt>
                <c:pt idx="590">
                  <c:v>9.6454410295187518</c:v>
                </c:pt>
                <c:pt idx="591">
                  <c:v>9.9096002629957347</c:v>
                </c:pt>
                <c:pt idx="592">
                  <c:v>10.17638267425963</c:v>
                </c:pt>
                <c:pt idx="593">
                  <c:v>10.445698431292964</c:v>
                </c:pt>
                <c:pt idx="594">
                  <c:v>10.71745768473836</c:v>
                </c:pt>
                <c:pt idx="595">
                  <c:v>10.991570621078266</c:v>
                </c:pt>
                <c:pt idx="596">
                  <c:v>11.267947515064838</c:v>
                </c:pt>
                <c:pt idx="597">
                  <c:v>11.546498781348735</c:v>
                </c:pt>
                <c:pt idx="598">
                  <c:v>11.827135025258411</c:v>
                </c:pt>
                <c:pt idx="599">
                  <c:v>12.109767092684001</c:v>
                </c:pt>
                <c:pt idx="600">
                  <c:v>12.394306119022708</c:v>
                </c:pt>
                <c:pt idx="601">
                  <c:v>12.680663577145237</c:v>
                </c:pt>
                <c:pt idx="602">
                  <c:v>12.968751324345236</c:v>
                </c:pt>
                <c:pt idx="603">
                  <c:v>13.258481648236527</c:v>
                </c:pt>
                <c:pt idx="604">
                  <c:v>13.549767311565105</c:v>
                </c:pt>
                <c:pt idx="605">
                  <c:v>13.842521595905708</c:v>
                </c:pt>
                <c:pt idx="606">
                  <c:v>14.136658344214856</c:v>
                </c:pt>
                <c:pt idx="607">
                  <c:v>14.432092002215029</c:v>
                </c:pt>
                <c:pt idx="608">
                  <c:v>14.728737658586647</c:v>
                </c:pt>
                <c:pt idx="609">
                  <c:v>15.026511083947149</c:v>
                </c:pt>
                <c:pt idx="610">
                  <c:v>15.325328768598617</c:v>
                </c:pt>
                <c:pt idx="611">
                  <c:v>15.625107959027636</c:v>
                </c:pt>
                <c:pt idx="612">
                  <c:v>15.925766693143238</c:v>
                </c:pt>
                <c:pt idx="613">
                  <c:v>16.227223834241226</c:v>
                </c:pt>
                <c:pt idx="614">
                  <c:v>16.529399103684625</c:v>
                </c:pt>
                <c:pt idx="615">
                  <c:v>16.83221311229298</c:v>
                </c:pt>
                <c:pt idx="616">
                  <c:v>17.135587390434328</c:v>
                </c:pt>
                <c:pt idx="617">
                  <c:v>17.439444416816261</c:v>
                </c:pt>
                <c:pt idx="618">
                  <c:v>17.743707645974002</c:v>
                </c:pt>
                <c:pt idx="619">
                  <c:v>18.048301534455561</c:v>
                </c:pt>
                <c:pt idx="620">
                  <c:v>18.353151565705499</c:v>
                </c:pt>
                <c:pt idx="621">
                  <c:v>18.658184273650907</c:v>
                </c:pt>
                <c:pt idx="622">
                  <c:v>18.963327264994575</c:v>
                </c:pt>
                <c:pt idx="623">
                  <c:v>19.268509240222034</c:v>
                </c:pt>
                <c:pt idx="624">
                  <c:v>19.573660013330844</c:v>
                </c:pt>
                <c:pt idx="625">
                  <c:v>19.878710530291706</c:v>
                </c:pt>
                <c:pt idx="626">
                  <c:v>20.183592886252622</c:v>
                </c:pt>
                <c:pt idx="627">
                  <c:v>20.488240341498685</c:v>
                </c:pt>
                <c:pt idx="628">
                  <c:v>20.792587336181057</c:v>
                </c:pt>
                <c:pt idx="629">
                  <c:v>21.096569503830477</c:v>
                </c:pt>
                <c:pt idx="630">
                  <c:v>21.40012368367125</c:v>
                </c:pt>
                <c:pt idx="631">
                  <c:v>21.703187931753167</c:v>
                </c:pt>
                <c:pt idx="632">
                  <c:v>22.005701530919637</c:v>
                </c:pt>
                <c:pt idx="633">
                  <c:v>22.307604999631344</c:v>
                </c:pt>
                <c:pt idx="634">
                  <c:v>22.608840099665745</c:v>
                </c:pt>
                <c:pt idx="635">
                  <c:v>22.909349842713418</c:v>
                </c:pt>
                <c:pt idx="636">
                  <c:v>23.20907849589322</c:v>
                </c:pt>
                <c:pt idx="637">
                  <c:v>23.507971586208711</c:v>
                </c:pt>
                <c:pt idx="638">
                  <c:v>23.805975903969514</c:v>
                </c:pt>
                <c:pt idx="639">
                  <c:v>24.103039505200996</c:v>
                </c:pt>
                <c:pt idx="640">
                  <c:v>24.399111713067114</c:v>
                </c:pt>
                <c:pt idx="641">
                  <c:v>24.694143118331336</c:v>
                </c:pt>
                <c:pt idx="642">
                  <c:v>24.988085578880948</c:v>
                </c:pt>
                <c:pt idx="643">
                  <c:v>25.280892218340409</c:v>
                </c:pt>
                <c:pt idx="644">
                  <c:v>25.572517423800324</c:v>
                </c:pt>
                <c:pt idx="645">
                  <c:v>25.862916842688055</c:v>
                </c:pt>
                <c:pt idx="646">
                  <c:v>26.152047378806657</c:v>
                </c:pt>
                <c:pt idx="647">
                  <c:v>26.439867187569277</c:v>
                </c:pt>
                <c:pt idx="648">
                  <c:v>26.726335670455668</c:v>
                </c:pt>
                <c:pt idx="649">
                  <c:v>27.011413468718025</c:v>
                </c:pt>
                <c:pt idx="650">
                  <c:v>27.29506245636335</c:v>
                </c:pt>
                <c:pt idx="651">
                  <c:v>27.577245732439302</c:v>
                </c:pt>
                <c:pt idx="652">
                  <c:v>27.857927612650787</c:v>
                </c:pt>
                <c:pt idx="653">
                  <c:v>28.13707362033426</c:v>
                </c:pt>
                <c:pt idx="654">
                  <c:v>28.414650476816632</c:v>
                </c:pt>
                <c:pt idx="655">
                  <c:v>28.690626091185607</c:v>
                </c:pt>
                <c:pt idx="656">
                  <c:v>28.964969549498061</c:v>
                </c:pt>
                <c:pt idx="657">
                  <c:v>29.237651103452745</c:v>
                </c:pt>
                <c:pt idx="658">
                  <c:v>29.508642158553563</c:v>
                </c:pt>
                <c:pt idx="659">
                  <c:v>29.777915261789314</c:v>
                </c:pt>
                <c:pt idx="660">
                  <c:v>30.045444088855312</c:v>
                </c:pt>
                <c:pt idx="661">
                  <c:v>30.311203430942342</c:v>
                </c:pt>
                <c:pt idx="662">
                  <c:v>30.575169181117747</c:v>
                </c:pt>
                <c:pt idx="663">
                  <c:v>30.83731832032322</c:v>
                </c:pt>
                <c:pt idx="664">
                  <c:v>31.097628903013216</c:v>
                </c:pt>
                <c:pt idx="665">
                  <c:v>31.356080042458228</c:v>
                </c:pt>
                <c:pt idx="666">
                  <c:v>31.61265189573567</c:v>
                </c:pt>
                <c:pt idx="667">
                  <c:v>31.867325648431596</c:v>
                </c:pt>
                <c:pt idx="668">
                  <c:v>32.120083499075363</c:v>
                </c:pt>
                <c:pt idx="669">
                  <c:v>32.370908643329578</c:v>
                </c:pt>
                <c:pt idx="670">
                  <c:v>32.619785257956103</c:v>
                </c:pt>
                <c:pt idx="671">
                  <c:v>32.866698484579864</c:v>
                </c:pt>
                <c:pt idx="672">
                  <c:v>33.111634413270188</c:v>
                </c:pt>
                <c:pt idx="673">
                  <c:v>33.354580065959887</c:v>
                </c:pt>
                <c:pt idx="674">
                  <c:v>33.595523379721705</c:v>
                </c:pt>
                <c:pt idx="675">
                  <c:v>33.834453189920296</c:v>
                </c:pt>
                <c:pt idx="676">
                  <c:v>34.071359213258987</c:v>
                </c:pt>
                <c:pt idx="677">
                  <c:v>34.306232030738265</c:v>
                </c:pt>
                <c:pt idx="678">
                  <c:v>34.53906307054379</c:v>
                </c:pt>
                <c:pt idx="679">
                  <c:v>34.769844590880396</c:v>
                </c:pt>
                <c:pt idx="680">
                  <c:v>34.998569662768361</c:v>
                </c:pt>
                <c:pt idx="681">
                  <c:v>35.225232152817377</c:v>
                </c:pt>
                <c:pt idx="682">
                  <c:v>35.44982670599363</c:v>
                </c:pt>
                <c:pt idx="683">
                  <c:v>35.672348728394169</c:v>
                </c:pt>
                <c:pt idx="684">
                  <c:v>35.892794370042822</c:v>
                </c:pt>
                <c:pt idx="685">
                  <c:v>36.111160507720989</c:v>
                </c:pt>
                <c:pt idx="686">
                  <c:v>36.327444727846427</c:v>
                </c:pt>
                <c:pt idx="687">
                  <c:v>36.541645309412118</c:v>
                </c:pt>
                <c:pt idx="688">
                  <c:v>36.753761206997595</c:v>
                </c:pt>
                <c:pt idx="689">
                  <c:v>36.963792033863463</c:v>
                </c:pt>
                <c:pt idx="690">
                  <c:v>37.171738045140692</c:v>
                </c:pt>
                <c:pt idx="691">
                  <c:v>37.377600121124672</c:v>
                </c:pt>
                <c:pt idx="692">
                  <c:v>37.581379750683702</c:v>
                </c:pt>
                <c:pt idx="693">
                  <c:v>37.783079014791802</c:v>
                </c:pt>
                <c:pt idx="694">
                  <c:v>37.982700570194552</c:v>
                </c:pt>
                <c:pt idx="695">
                  <c:v>38.180247633216247</c:v>
                </c:pt>
                <c:pt idx="696">
                  <c:v>38.375723963716482</c:v>
                </c:pt>
                <c:pt idx="697">
                  <c:v>38.569133849203901</c:v>
                </c:pt>
                <c:pt idx="698">
                  <c:v>38.760482089113736</c:v>
                </c:pt>
                <c:pt idx="699">
                  <c:v>38.949773979256513</c:v>
                </c:pt>
                <c:pt idx="700">
                  <c:v>39.137015296443181</c:v>
                </c:pt>
                <c:pt idx="701">
                  <c:v>39.322212283293624</c:v>
                </c:pt>
                <c:pt idx="702">
                  <c:v>39.50537163323299</c:v>
                </c:pt>
                <c:pt idx="703">
                  <c:v>39.68650047568164</c:v>
                </c:pt>
                <c:pt idx="704">
                  <c:v>39.865606361442794</c:v>
                </c:pt>
                <c:pt idx="705">
                  <c:v>40.042697248292541</c:v>
                </c:pt>
                <c:pt idx="706">
                  <c:v>40.21778148677609</c:v>
                </c:pt>
                <c:pt idx="707">
                  <c:v>40.390867806213606</c:v>
                </c:pt>
                <c:pt idx="708">
                  <c:v>40.561965300919141</c:v>
                </c:pt>
                <c:pt idx="709">
                  <c:v>40.731083416635457</c:v>
                </c:pt>
                <c:pt idx="710">
                  <c:v>40.898231937187369</c:v>
                </c:pt>
                <c:pt idx="711">
                  <c:v>41.063420971355931</c:v>
                </c:pt>
                <c:pt idx="712">
                  <c:v>41.226660939975268</c:v>
                </c:pt>
                <c:pt idx="713">
                  <c:v>41.387962563254071</c:v>
                </c:pt>
                <c:pt idx="714">
                  <c:v>41.547336848322907</c:v>
                </c:pt>
                <c:pt idx="715">
                  <c:v>41.704795077008704</c:v>
                </c:pt>
                <c:pt idx="716">
                  <c:v>41.860348793837225</c:v>
                </c:pt>
                <c:pt idx="717">
                  <c:v>42.014009794264183</c:v>
                </c:pt>
                <c:pt idx="718">
                  <c:v>42.165790113135543</c:v>
                </c:pt>
                <c:pt idx="719">
                  <c:v>42.315702013377113</c:v>
                </c:pt>
                <c:pt idx="720">
                  <c:v>42.463757974913335</c:v>
                </c:pt>
                <c:pt idx="721">
                  <c:v>42.609970683815312</c:v>
                </c:pt>
                <c:pt idx="722">
                  <c:v>42.754353021677488</c:v>
                </c:pt>
                <c:pt idx="723">
                  <c:v>42.896918055222223</c:v>
                </c:pt>
                <c:pt idx="724">
                  <c:v>43.037679026131862</c:v>
                </c:pt>
                <c:pt idx="725">
                  <c:v>43.17664934110708</c:v>
                </c:pt>
                <c:pt idx="726">
                  <c:v>43.313842562150221</c:v>
                </c:pt>
                <c:pt idx="727">
                  <c:v>43.449272397073003</c:v>
                </c:pt>
                <c:pt idx="728">
                  <c:v>43.582952690226236</c:v>
                </c:pt>
                <c:pt idx="729">
                  <c:v>43.714897413450977</c:v>
                </c:pt>
                <c:pt idx="730">
                  <c:v>43.8451206572486</c:v>
                </c:pt>
                <c:pt idx="731">
                  <c:v>43.973636622168549</c:v>
                </c:pt>
                <c:pt idx="732">
                  <c:v>44.100459610411548</c:v>
                </c:pt>
                <c:pt idx="733">
                  <c:v>44.225604017646283</c:v>
                </c:pt>
                <c:pt idx="734">
                  <c:v>44.349084325037602</c:v>
                </c:pt>
                <c:pt idx="735">
                  <c:v>44.470915091483725</c:v>
                </c:pt>
                <c:pt idx="736">
                  <c:v>44.59111094606034</c:v>
                </c:pt>
                <c:pt idx="737">
                  <c:v>44.709686580669121</c:v>
                </c:pt>
                <c:pt idx="738">
                  <c:v>44.826656742888211</c:v>
                </c:pt>
                <c:pt idx="739">
                  <c:v>44.942036229022087</c:v>
                </c:pt>
                <c:pt idx="740">
                  <c:v>45.055839877348198</c:v>
                </c:pt>
                <c:pt idx="741">
                  <c:v>45.168082561557952</c:v>
                </c:pt>
                <c:pt idx="742">
                  <c:v>45.278779184388704</c:v>
                </c:pt>
                <c:pt idx="743">
                  <c:v>45.387944671444799</c:v>
                </c:pt>
                <c:pt idx="744">
                  <c:v>45.495593965204172</c:v>
                </c:pt>
                <c:pt idx="745">
                  <c:v>45.601742019208089</c:v>
                </c:pt>
                <c:pt idx="746">
                  <c:v>45.706403792430883</c:v>
                </c:pt>
                <c:pt idx="747">
                  <c:v>45.80959424382695</c:v>
                </c:pt>
                <c:pt idx="748">
                  <c:v>45.911328327051777</c:v>
                </c:pt>
                <c:pt idx="749">
                  <c:v>46.011620985354597</c:v>
                </c:pt>
                <c:pt idx="750">
                  <c:v>46.110487146639144</c:v>
                </c:pt>
                <c:pt idx="751">
                  <c:v>46.207941718689547</c:v>
                </c:pt>
                <c:pt idx="752">
                  <c:v>46.303999584558881</c:v>
                </c:pt>
                <c:pt idx="753">
                  <c:v>46.398675598116817</c:v>
                </c:pt>
                <c:pt idx="754">
                  <c:v>46.491984579753478</c:v>
                </c:pt>
                <c:pt idx="755">
                  <c:v>46.583941312236874</c:v>
                </c:pt>
                <c:pt idx="756">
                  <c:v>46.674560536720165</c:v>
                </c:pt>
                <c:pt idx="757">
                  <c:v>46.763856948896645</c:v>
                </c:pt>
                <c:pt idx="758">
                  <c:v>46.851845195298573</c:v>
                </c:pt>
                <c:pt idx="759">
                  <c:v>46.938539869737561</c:v>
                </c:pt>
                <c:pt idx="760">
                  <c:v>47.02395550988318</c:v>
                </c:pt>
                <c:pt idx="761">
                  <c:v>47.108106593976785</c:v>
                </c:pt>
                <c:pt idx="762">
                  <c:v>47.191007537678026</c:v>
                </c:pt>
                <c:pt idx="763">
                  <c:v>47.272672691040434</c:v>
                </c:pt>
                <c:pt idx="764">
                  <c:v>47.353116335614054</c:v>
                </c:pt>
                <c:pt idx="765">
                  <c:v>47.432352681671283</c:v>
                </c:pt>
                <c:pt idx="766">
                  <c:v>47.510395865553996</c:v>
                </c:pt>
                <c:pt idx="767">
                  <c:v>47.587259947138307</c:v>
                </c:pt>
                <c:pt idx="768">
                  <c:v>47.66295890741489</c:v>
                </c:pt>
                <c:pt idx="769">
                  <c:v>47.737506646181401</c:v>
                </c:pt>
                <c:pt idx="770">
                  <c:v>47.810916979844933</c:v>
                </c:pt>
                <c:pt idx="771">
                  <c:v>47.883203639331136</c:v>
                </c:pt>
                <c:pt idx="772">
                  <c:v>47.954380268097765</c:v>
                </c:pt>
                <c:pt idx="773">
                  <c:v>48.024460420250129</c:v>
                </c:pt>
                <c:pt idx="774">
                  <c:v>48.093457558755148</c:v>
                </c:pt>
                <c:pt idx="775">
                  <c:v>48.16138505375217</c:v>
                </c:pt>
                <c:pt idx="776">
                  <c:v>48.228256180957636</c:v>
                </c:pt>
                <c:pt idx="777">
                  <c:v>48.294084120161152</c:v>
                </c:pt>
                <c:pt idx="778">
                  <c:v>48.358881953810545</c:v>
                </c:pt>
                <c:pt idx="779">
                  <c:v>48.42266266568339</c:v>
                </c:pt>
                <c:pt idx="780">
                  <c:v>48.485439139642629</c:v>
                </c:pt>
                <c:pt idx="781">
                  <c:v>48.547224158474108</c:v>
                </c:pt>
                <c:pt idx="782">
                  <c:v>48.608030402803273</c:v>
                </c:pt>
                <c:pt idx="783">
                  <c:v>48.66787045008946</c:v>
                </c:pt>
                <c:pt idx="784">
                  <c:v>48.726756773694639</c:v>
                </c:pt>
                <c:pt idx="785">
                  <c:v>48.784701742025085</c:v>
                </c:pt>
                <c:pt idx="786">
                  <c:v>48.841717617743832</c:v>
                </c:pt>
                <c:pt idx="787">
                  <c:v>48.897816557051129</c:v>
                </c:pt>
                <c:pt idx="788">
                  <c:v>48.953010609031544</c:v>
                </c:pt>
                <c:pt idx="789">
                  <c:v>49.007311715065292</c:v>
                </c:pt>
                <c:pt idx="790">
                  <c:v>49.060731708301951</c:v>
                </c:pt>
                <c:pt idx="791">
                  <c:v>49.11328231319419</c:v>
                </c:pt>
                <c:pt idx="792">
                  <c:v>49.164975145090345</c:v>
                </c:pt>
                <c:pt idx="793">
                  <c:v>49.215821709883272</c:v>
                </c:pt>
                <c:pt idx="794">
                  <c:v>49.265833403713764</c:v>
                </c:pt>
                <c:pt idx="795">
                  <c:v>49.315021512727114</c:v>
                </c:pt>
                <c:pt idx="796">
                  <c:v>49.36339721288045</c:v>
                </c:pt>
                <c:pt idx="797">
                  <c:v>49.410971569799642</c:v>
                </c:pt>
                <c:pt idx="798">
                  <c:v>49.457755538683756</c:v>
                </c:pt>
                <c:pt idx="799">
                  <c:v>49.503759964255487</c:v>
                </c:pt>
                <c:pt idx="800">
                  <c:v>49.503805176037652</c:v>
                </c:pt>
                <c:pt idx="801">
                  <c:v>49.503850387063984</c:v>
                </c:pt>
                <c:pt idx="802">
                  <c:v>49.503895597334427</c:v>
                </c:pt>
                <c:pt idx="803">
                  <c:v>49.503940806849087</c:v>
                </c:pt>
                <c:pt idx="804">
                  <c:v>49.503986015607936</c:v>
                </c:pt>
                <c:pt idx="805">
                  <c:v>49.504031223610994</c:v>
                </c:pt>
                <c:pt idx="806">
                  <c:v>49.50407643085822</c:v>
                </c:pt>
                <c:pt idx="807">
                  <c:v>49.504121637349698</c:v>
                </c:pt>
                <c:pt idx="808">
                  <c:v>49.504166843085386</c:v>
                </c:pt>
                <c:pt idx="809">
                  <c:v>49.504212048065369</c:v>
                </c:pt>
                <c:pt idx="810">
                  <c:v>49.504257252289563</c:v>
                </c:pt>
                <c:pt idx="811">
                  <c:v>49.504302455758022</c:v>
                </c:pt>
                <c:pt idx="812">
                  <c:v>49.504347658470785</c:v>
                </c:pt>
                <c:pt idx="813">
                  <c:v>49.504392860427778</c:v>
                </c:pt>
                <c:pt idx="814">
                  <c:v>49.504438061629081</c:v>
                </c:pt>
                <c:pt idx="815">
                  <c:v>49.504483262074714</c:v>
                </c:pt>
                <c:pt idx="816">
                  <c:v>49.504528461764657</c:v>
                </c:pt>
                <c:pt idx="817">
                  <c:v>49.504573660698895</c:v>
                </c:pt>
                <c:pt idx="818">
                  <c:v>49.504618858877514</c:v>
                </c:pt>
                <c:pt idx="819">
                  <c:v>49.504664056300442</c:v>
                </c:pt>
                <c:pt idx="820">
                  <c:v>49.504709252967736</c:v>
                </c:pt>
                <c:pt idx="821">
                  <c:v>49.504754448879382</c:v>
                </c:pt>
                <c:pt idx="822">
                  <c:v>49.504799644035451</c:v>
                </c:pt>
                <c:pt idx="823">
                  <c:v>49.504844838435858</c:v>
                </c:pt>
                <c:pt idx="824">
                  <c:v>49.504890032080702</c:v>
                </c:pt>
                <c:pt idx="825">
                  <c:v>49.504935224969934</c:v>
                </c:pt>
                <c:pt idx="826">
                  <c:v>49.504980417103582</c:v>
                </c:pt>
                <c:pt idx="827">
                  <c:v>49.505025608481674</c:v>
                </c:pt>
                <c:pt idx="828">
                  <c:v>49.505070799104175</c:v>
                </c:pt>
                <c:pt idx="829">
                  <c:v>49.505115988971156</c:v>
                </c:pt>
                <c:pt idx="830">
                  <c:v>49.505161178082616</c:v>
                </c:pt>
                <c:pt idx="831">
                  <c:v>49.505206366438486</c:v>
                </c:pt>
                <c:pt idx="832">
                  <c:v>49.505251554038864</c:v>
                </c:pt>
                <c:pt idx="833">
                  <c:v>49.505296740883736</c:v>
                </c:pt>
                <c:pt idx="834">
                  <c:v>49.505341926973131</c:v>
                </c:pt>
                <c:pt idx="835">
                  <c:v>49.505387112307012</c:v>
                </c:pt>
                <c:pt idx="836">
                  <c:v>49.505432296885445</c:v>
                </c:pt>
                <c:pt idx="837">
                  <c:v>49.5054774807084</c:v>
                </c:pt>
                <c:pt idx="838">
                  <c:v>49.505522663775857</c:v>
                </c:pt>
                <c:pt idx="839">
                  <c:v>49.505567846087914</c:v>
                </c:pt>
                <c:pt idx="840">
                  <c:v>49.505613027644529</c:v>
                </c:pt>
                <c:pt idx="841">
                  <c:v>49.505658208445702</c:v>
                </c:pt>
                <c:pt idx="842">
                  <c:v>49.505703388491469</c:v>
                </c:pt>
                <c:pt idx="843">
                  <c:v>49.505748567781836</c:v>
                </c:pt>
                <c:pt idx="844">
                  <c:v>49.505793746316819</c:v>
                </c:pt>
                <c:pt idx="845">
                  <c:v>49.505838924096402</c:v>
                </c:pt>
                <c:pt idx="846">
                  <c:v>49.505884101120614</c:v>
                </c:pt>
                <c:pt idx="847">
                  <c:v>49.50592927738947</c:v>
                </c:pt>
                <c:pt idx="848">
                  <c:v>49.50597445290299</c:v>
                </c:pt>
                <c:pt idx="849">
                  <c:v>49.506019627661139</c:v>
                </c:pt>
                <c:pt idx="850">
                  <c:v>49.506064801663975</c:v>
                </c:pt>
                <c:pt idx="851">
                  <c:v>49.506109974911496</c:v>
                </c:pt>
                <c:pt idx="852">
                  <c:v>49.506155147403675</c:v>
                </c:pt>
                <c:pt idx="853">
                  <c:v>49.506200319140582</c:v>
                </c:pt>
                <c:pt idx="854">
                  <c:v>49.50624549012219</c:v>
                </c:pt>
                <c:pt idx="855">
                  <c:v>49.506290660348519</c:v>
                </c:pt>
                <c:pt idx="856">
                  <c:v>49.506335829819584</c:v>
                </c:pt>
                <c:pt idx="857">
                  <c:v>49.506380998535377</c:v>
                </c:pt>
                <c:pt idx="858">
                  <c:v>49.506426166495906</c:v>
                </c:pt>
                <c:pt idx="859">
                  <c:v>49.506471333701242</c:v>
                </c:pt>
                <c:pt idx="860">
                  <c:v>49.506516500151321</c:v>
                </c:pt>
                <c:pt idx="861">
                  <c:v>49.506561665846199</c:v>
                </c:pt>
                <c:pt idx="862">
                  <c:v>49.506606830785877</c:v>
                </c:pt>
                <c:pt idx="863">
                  <c:v>49.506651994970341</c:v>
                </c:pt>
                <c:pt idx="864">
                  <c:v>49.506697158399611</c:v>
                </c:pt>
                <c:pt idx="865">
                  <c:v>49.506742321073737</c:v>
                </c:pt>
                <c:pt idx="866">
                  <c:v>49.506787482992664</c:v>
                </c:pt>
                <c:pt idx="867">
                  <c:v>49.506832644156447</c:v>
                </c:pt>
                <c:pt idx="868">
                  <c:v>49.506877804565107</c:v>
                </c:pt>
                <c:pt idx="869">
                  <c:v>49.50692296421861</c:v>
                </c:pt>
                <c:pt idx="870">
                  <c:v>49.506968123116998</c:v>
                </c:pt>
                <c:pt idx="871">
                  <c:v>49.507013281260271</c:v>
                </c:pt>
                <c:pt idx="872">
                  <c:v>49.507058438648436</c:v>
                </c:pt>
                <c:pt idx="873">
                  <c:v>49.507103595281535</c:v>
                </c:pt>
                <c:pt idx="874">
                  <c:v>49.507148751159541</c:v>
                </c:pt>
                <c:pt idx="875">
                  <c:v>49.50719390628246</c:v>
                </c:pt>
                <c:pt idx="876">
                  <c:v>49.507239060650328</c:v>
                </c:pt>
                <c:pt idx="877">
                  <c:v>49.507284214263144</c:v>
                </c:pt>
                <c:pt idx="878">
                  <c:v>49.507329367120917</c:v>
                </c:pt>
                <c:pt idx="879">
                  <c:v>49.507374519223681</c:v>
                </c:pt>
                <c:pt idx="880">
                  <c:v>49.507419670571387</c:v>
                </c:pt>
                <c:pt idx="881">
                  <c:v>49.50746482116412</c:v>
                </c:pt>
                <c:pt idx="882">
                  <c:v>49.507509971001845</c:v>
                </c:pt>
                <c:pt idx="883">
                  <c:v>49.507555120084554</c:v>
                </c:pt>
                <c:pt idx="884">
                  <c:v>49.507600268412318</c:v>
                </c:pt>
                <c:pt idx="885">
                  <c:v>49.507645415985117</c:v>
                </c:pt>
                <c:pt idx="886">
                  <c:v>49.507690562802942</c:v>
                </c:pt>
                <c:pt idx="887">
                  <c:v>49.50773570886583</c:v>
                </c:pt>
                <c:pt idx="888">
                  <c:v>49.507780854173753</c:v>
                </c:pt>
                <c:pt idx="889">
                  <c:v>49.507825998726787</c:v>
                </c:pt>
                <c:pt idx="890">
                  <c:v>49.507871142524927</c:v>
                </c:pt>
                <c:pt idx="891">
                  <c:v>49.507916285568122</c:v>
                </c:pt>
                <c:pt idx="892">
                  <c:v>49.507961427856443</c:v>
                </c:pt>
                <c:pt idx="893">
                  <c:v>49.508006569389842</c:v>
                </c:pt>
                <c:pt idx="894">
                  <c:v>49.508051710168402</c:v>
                </c:pt>
                <c:pt idx="895">
                  <c:v>49.508096850192096</c:v>
                </c:pt>
                <c:pt idx="896">
                  <c:v>49.508141989460917</c:v>
                </c:pt>
                <c:pt idx="897">
                  <c:v>49.508187127974935</c:v>
                </c:pt>
                <c:pt idx="898">
                  <c:v>49.508232265734094</c:v>
                </c:pt>
                <c:pt idx="899">
                  <c:v>49.508277402738408</c:v>
                </c:pt>
                <c:pt idx="900">
                  <c:v>49.508322538987947</c:v>
                </c:pt>
                <c:pt idx="901">
                  <c:v>49.508367674482692</c:v>
                </c:pt>
                <c:pt idx="902">
                  <c:v>49.508412809222627</c:v>
                </c:pt>
                <c:pt idx="903">
                  <c:v>49.50845794320778</c:v>
                </c:pt>
                <c:pt idx="904">
                  <c:v>49.508503076438174</c:v>
                </c:pt>
                <c:pt idx="905">
                  <c:v>49.508548208913794</c:v>
                </c:pt>
                <c:pt idx="906">
                  <c:v>49.508593340634697</c:v>
                </c:pt>
                <c:pt idx="907">
                  <c:v>49.508638471600825</c:v>
                </c:pt>
                <c:pt idx="908">
                  <c:v>49.508683601812251</c:v>
                </c:pt>
                <c:pt idx="909">
                  <c:v>49.50872873126896</c:v>
                </c:pt>
                <c:pt idx="910">
                  <c:v>49.508773859970965</c:v>
                </c:pt>
                <c:pt idx="911">
                  <c:v>49.508818987918239</c:v>
                </c:pt>
                <c:pt idx="912">
                  <c:v>49.508864115110846</c:v>
                </c:pt>
                <c:pt idx="913">
                  <c:v>49.508909241548778</c:v>
                </c:pt>
                <c:pt idx="914">
                  <c:v>49.508954367232057</c:v>
                </c:pt>
                <c:pt idx="915">
                  <c:v>49.508999492160676</c:v>
                </c:pt>
                <c:pt idx="916">
                  <c:v>49.509044616334634</c:v>
                </c:pt>
                <c:pt idx="917">
                  <c:v>49.509089739753961</c:v>
                </c:pt>
                <c:pt idx="918">
                  <c:v>49.509134862418698</c:v>
                </c:pt>
                <c:pt idx="919">
                  <c:v>49.509179984328796</c:v>
                </c:pt>
                <c:pt idx="920">
                  <c:v>49.509225105484269</c:v>
                </c:pt>
                <c:pt idx="921">
                  <c:v>49.509270225885174</c:v>
                </c:pt>
                <c:pt idx="922">
                  <c:v>49.509315345531498</c:v>
                </c:pt>
                <c:pt idx="923">
                  <c:v>49.509360464423239</c:v>
                </c:pt>
                <c:pt idx="924">
                  <c:v>49.509405582560447</c:v>
                </c:pt>
                <c:pt idx="925">
                  <c:v>49.509450699943088</c:v>
                </c:pt>
                <c:pt idx="926">
                  <c:v>49.50949581657116</c:v>
                </c:pt>
                <c:pt idx="927">
                  <c:v>49.509540932444722</c:v>
                </c:pt>
                <c:pt idx="928">
                  <c:v>49.509586047563786</c:v>
                </c:pt>
                <c:pt idx="929">
                  <c:v>49.50963116192834</c:v>
                </c:pt>
                <c:pt idx="930">
                  <c:v>49.509676275538375</c:v>
                </c:pt>
                <c:pt idx="931">
                  <c:v>49.50972138839392</c:v>
                </c:pt>
                <c:pt idx="932">
                  <c:v>49.509766500494976</c:v>
                </c:pt>
                <c:pt idx="933">
                  <c:v>49.509811611841585</c:v>
                </c:pt>
                <c:pt idx="934">
                  <c:v>49.509856722433739</c:v>
                </c:pt>
                <c:pt idx="935">
                  <c:v>49.509901832271439</c:v>
                </c:pt>
                <c:pt idx="936">
                  <c:v>49.50994694135472</c:v>
                </c:pt>
                <c:pt idx="937">
                  <c:v>49.509992049683547</c:v>
                </c:pt>
                <c:pt idx="938">
                  <c:v>49.51003715725799</c:v>
                </c:pt>
                <c:pt idx="939">
                  <c:v>49.510082264078001</c:v>
                </c:pt>
                <c:pt idx="940">
                  <c:v>49.510127370143636</c:v>
                </c:pt>
                <c:pt idx="941">
                  <c:v>49.510172475454873</c:v>
                </c:pt>
                <c:pt idx="942">
                  <c:v>49.510217580011719</c:v>
                </c:pt>
                <c:pt idx="943">
                  <c:v>49.510262683814219</c:v>
                </c:pt>
                <c:pt idx="944">
                  <c:v>49.510307786862377</c:v>
                </c:pt>
                <c:pt idx="945">
                  <c:v>49.510352889156167</c:v>
                </c:pt>
                <c:pt idx="946">
                  <c:v>49.51039799069563</c:v>
                </c:pt>
                <c:pt idx="947">
                  <c:v>49.510443091480802</c:v>
                </c:pt>
                <c:pt idx="948">
                  <c:v>49.510488191511612</c:v>
                </c:pt>
                <c:pt idx="949">
                  <c:v>49.510533290788153</c:v>
                </c:pt>
                <c:pt idx="950">
                  <c:v>49.510578389310403</c:v>
                </c:pt>
                <c:pt idx="951">
                  <c:v>49.510623487078369</c:v>
                </c:pt>
                <c:pt idx="952">
                  <c:v>49.510668584092066</c:v>
                </c:pt>
                <c:pt idx="953">
                  <c:v>49.510713680351486</c:v>
                </c:pt>
                <c:pt idx="954">
                  <c:v>49.510758775856665</c:v>
                </c:pt>
                <c:pt idx="955">
                  <c:v>49.510803870607617</c:v>
                </c:pt>
                <c:pt idx="956">
                  <c:v>49.510848964604357</c:v>
                </c:pt>
                <c:pt idx="957">
                  <c:v>49.510894057846841</c:v>
                </c:pt>
                <c:pt idx="958">
                  <c:v>49.510939150335112</c:v>
                </c:pt>
                <c:pt idx="959">
                  <c:v>49.510984242069213</c:v>
                </c:pt>
                <c:pt idx="960">
                  <c:v>49.511029333049116</c:v>
                </c:pt>
                <c:pt idx="961">
                  <c:v>49.511074423274856</c:v>
                </c:pt>
                <c:pt idx="962">
                  <c:v>49.511119512746426</c:v>
                </c:pt>
                <c:pt idx="963">
                  <c:v>49.511164601463832</c:v>
                </c:pt>
                <c:pt idx="964">
                  <c:v>49.511209689427112</c:v>
                </c:pt>
                <c:pt idx="965">
                  <c:v>49.51125477663625</c:v>
                </c:pt>
                <c:pt idx="966">
                  <c:v>49.511299863091274</c:v>
                </c:pt>
                <c:pt idx="967">
                  <c:v>49.51134494879215</c:v>
                </c:pt>
                <c:pt idx="968">
                  <c:v>49.511390033738941</c:v>
                </c:pt>
                <c:pt idx="969">
                  <c:v>49.511435117931626</c:v>
                </c:pt>
                <c:pt idx="970">
                  <c:v>49.511480201370233</c:v>
                </c:pt>
                <c:pt idx="971">
                  <c:v>49.511525284054777</c:v>
                </c:pt>
                <c:pt idx="972">
                  <c:v>49.511570365985243</c:v>
                </c:pt>
                <c:pt idx="973">
                  <c:v>49.511615447161674</c:v>
                </c:pt>
                <c:pt idx="974">
                  <c:v>49.511660527584041</c:v>
                </c:pt>
                <c:pt idx="975">
                  <c:v>49.511705607252402</c:v>
                </c:pt>
                <c:pt idx="976">
                  <c:v>49.511750686166721</c:v>
                </c:pt>
                <c:pt idx="977">
                  <c:v>49.51179576432704</c:v>
                </c:pt>
                <c:pt idx="978">
                  <c:v>49.511840841733374</c:v>
                </c:pt>
                <c:pt idx="979">
                  <c:v>49.511885918385694</c:v>
                </c:pt>
                <c:pt idx="980">
                  <c:v>49.511930994284043</c:v>
                </c:pt>
                <c:pt idx="981">
                  <c:v>49.511976069428421</c:v>
                </c:pt>
                <c:pt idx="982">
                  <c:v>49.512021143818849</c:v>
                </c:pt>
                <c:pt idx="983">
                  <c:v>49.512066217455356</c:v>
                </c:pt>
                <c:pt idx="984">
                  <c:v>49.51211129033787</c:v>
                </c:pt>
                <c:pt idx="985">
                  <c:v>49.512156362466492</c:v>
                </c:pt>
                <c:pt idx="986">
                  <c:v>49.51220143384117</c:v>
                </c:pt>
                <c:pt idx="987">
                  <c:v>49.512246504461977</c:v>
                </c:pt>
                <c:pt idx="988">
                  <c:v>49.512291574328877</c:v>
                </c:pt>
                <c:pt idx="989">
                  <c:v>49.512336643441884</c:v>
                </c:pt>
                <c:pt idx="990">
                  <c:v>49.512381711800998</c:v>
                </c:pt>
                <c:pt idx="991">
                  <c:v>49.512426779406283</c:v>
                </c:pt>
                <c:pt idx="992">
                  <c:v>49.512471846257704</c:v>
                </c:pt>
                <c:pt idx="993">
                  <c:v>49.512516912355274</c:v>
                </c:pt>
                <c:pt idx="994">
                  <c:v>49.512561977699015</c:v>
                </c:pt>
                <c:pt idx="995">
                  <c:v>49.512607042288934</c:v>
                </c:pt>
                <c:pt idx="996">
                  <c:v>49.512652106125003</c:v>
                </c:pt>
                <c:pt idx="997">
                  <c:v>49.512697169207321</c:v>
                </c:pt>
                <c:pt idx="998">
                  <c:v>49.512742231535825</c:v>
                </c:pt>
                <c:pt idx="999">
                  <c:v>49.512787293110549</c:v>
                </c:pt>
                <c:pt idx="1000">
                  <c:v>49.512832353931515</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35.900000000000198</c:v>
                </c:pt>
                <c:pt idx="720">
                  <c:v>36.000000000000199</c:v>
                </c:pt>
                <c:pt idx="721">
                  <c:v>36.1000000000002</c:v>
                </c:pt>
                <c:pt idx="722">
                  <c:v>36.200000000000202</c:v>
                </c:pt>
                <c:pt idx="723">
                  <c:v>36.300000000000203</c:v>
                </c:pt>
                <c:pt idx="724">
                  <c:v>36.400000000000205</c:v>
                </c:pt>
                <c:pt idx="725">
                  <c:v>36.500000000000206</c:v>
                </c:pt>
                <c:pt idx="726">
                  <c:v>36.600000000000207</c:v>
                </c:pt>
                <c:pt idx="727">
                  <c:v>36.700000000000209</c:v>
                </c:pt>
                <c:pt idx="728">
                  <c:v>36.80000000000021</c:v>
                </c:pt>
                <c:pt idx="729">
                  <c:v>36.900000000000212</c:v>
                </c:pt>
                <c:pt idx="730">
                  <c:v>37.000000000000213</c:v>
                </c:pt>
                <c:pt idx="731">
                  <c:v>37.100000000000215</c:v>
                </c:pt>
                <c:pt idx="732">
                  <c:v>37.200000000000216</c:v>
                </c:pt>
                <c:pt idx="733">
                  <c:v>37.300000000000217</c:v>
                </c:pt>
                <c:pt idx="734">
                  <c:v>37.400000000000219</c:v>
                </c:pt>
                <c:pt idx="735">
                  <c:v>37.50000000000022</c:v>
                </c:pt>
                <c:pt idx="736">
                  <c:v>37.600000000000222</c:v>
                </c:pt>
                <c:pt idx="737">
                  <c:v>37.700000000000223</c:v>
                </c:pt>
                <c:pt idx="738">
                  <c:v>37.800000000000225</c:v>
                </c:pt>
                <c:pt idx="739">
                  <c:v>37.900000000000226</c:v>
                </c:pt>
                <c:pt idx="740">
                  <c:v>38.000000000000227</c:v>
                </c:pt>
                <c:pt idx="741">
                  <c:v>38.100000000000229</c:v>
                </c:pt>
                <c:pt idx="742">
                  <c:v>38.20000000000023</c:v>
                </c:pt>
                <c:pt idx="743">
                  <c:v>38.300000000000232</c:v>
                </c:pt>
                <c:pt idx="744">
                  <c:v>38.400000000000233</c:v>
                </c:pt>
                <c:pt idx="745">
                  <c:v>38.500000000000234</c:v>
                </c:pt>
                <c:pt idx="746">
                  <c:v>38.600000000000236</c:v>
                </c:pt>
                <c:pt idx="747">
                  <c:v>38.700000000000237</c:v>
                </c:pt>
                <c:pt idx="748">
                  <c:v>38.800000000000239</c:v>
                </c:pt>
                <c:pt idx="749">
                  <c:v>38.90000000000024</c:v>
                </c:pt>
                <c:pt idx="750">
                  <c:v>39.000000000000242</c:v>
                </c:pt>
                <c:pt idx="751">
                  <c:v>39.100000000000243</c:v>
                </c:pt>
                <c:pt idx="752">
                  <c:v>39.200000000000244</c:v>
                </c:pt>
                <c:pt idx="753">
                  <c:v>39.300000000000246</c:v>
                </c:pt>
                <c:pt idx="754">
                  <c:v>39.400000000000247</c:v>
                </c:pt>
                <c:pt idx="755">
                  <c:v>39.500000000000249</c:v>
                </c:pt>
                <c:pt idx="756">
                  <c:v>39.60000000000025</c:v>
                </c:pt>
                <c:pt idx="757">
                  <c:v>39.700000000000252</c:v>
                </c:pt>
                <c:pt idx="758">
                  <c:v>39.800000000000253</c:v>
                </c:pt>
                <c:pt idx="759">
                  <c:v>39.900000000000254</c:v>
                </c:pt>
                <c:pt idx="760">
                  <c:v>40.000000000000256</c:v>
                </c:pt>
                <c:pt idx="761">
                  <c:v>40.100000000000257</c:v>
                </c:pt>
                <c:pt idx="762">
                  <c:v>40.200000000000259</c:v>
                </c:pt>
                <c:pt idx="763">
                  <c:v>40.30000000000026</c:v>
                </c:pt>
                <c:pt idx="764">
                  <c:v>40.400000000000261</c:v>
                </c:pt>
                <c:pt idx="765">
                  <c:v>40.500000000000263</c:v>
                </c:pt>
                <c:pt idx="766">
                  <c:v>40.600000000000264</c:v>
                </c:pt>
                <c:pt idx="767">
                  <c:v>40.700000000000266</c:v>
                </c:pt>
                <c:pt idx="768">
                  <c:v>40.800000000000267</c:v>
                </c:pt>
                <c:pt idx="769">
                  <c:v>40.900000000000269</c:v>
                </c:pt>
                <c:pt idx="770">
                  <c:v>41.00000000000027</c:v>
                </c:pt>
                <c:pt idx="771">
                  <c:v>41.100000000000271</c:v>
                </c:pt>
                <c:pt idx="772">
                  <c:v>41.200000000000273</c:v>
                </c:pt>
                <c:pt idx="773">
                  <c:v>41.300000000000274</c:v>
                </c:pt>
                <c:pt idx="774">
                  <c:v>41.400000000000276</c:v>
                </c:pt>
                <c:pt idx="775">
                  <c:v>41.500000000000277</c:v>
                </c:pt>
                <c:pt idx="776">
                  <c:v>41.600000000000279</c:v>
                </c:pt>
                <c:pt idx="777">
                  <c:v>41.70000000000028</c:v>
                </c:pt>
                <c:pt idx="778">
                  <c:v>41.800000000000281</c:v>
                </c:pt>
                <c:pt idx="779">
                  <c:v>41.900000000000283</c:v>
                </c:pt>
                <c:pt idx="780">
                  <c:v>42.000000000000284</c:v>
                </c:pt>
                <c:pt idx="781">
                  <c:v>42.100000000000286</c:v>
                </c:pt>
                <c:pt idx="782">
                  <c:v>42.200000000000287</c:v>
                </c:pt>
                <c:pt idx="783">
                  <c:v>42.300000000000288</c:v>
                </c:pt>
                <c:pt idx="784">
                  <c:v>42.40000000000029</c:v>
                </c:pt>
                <c:pt idx="785">
                  <c:v>42.500000000000291</c:v>
                </c:pt>
                <c:pt idx="786">
                  <c:v>42.600000000000293</c:v>
                </c:pt>
                <c:pt idx="787">
                  <c:v>42.700000000000294</c:v>
                </c:pt>
                <c:pt idx="788">
                  <c:v>42.800000000000296</c:v>
                </c:pt>
                <c:pt idx="789">
                  <c:v>42.900000000000297</c:v>
                </c:pt>
                <c:pt idx="790">
                  <c:v>43.000000000000298</c:v>
                </c:pt>
                <c:pt idx="791">
                  <c:v>43.1000000000003</c:v>
                </c:pt>
                <c:pt idx="792">
                  <c:v>43.200000000000301</c:v>
                </c:pt>
                <c:pt idx="793">
                  <c:v>43.300000000000303</c:v>
                </c:pt>
                <c:pt idx="794">
                  <c:v>43.400000000000304</c:v>
                </c:pt>
                <c:pt idx="795">
                  <c:v>43.500000000000306</c:v>
                </c:pt>
                <c:pt idx="796">
                  <c:v>43.600000000000307</c:v>
                </c:pt>
                <c:pt idx="797">
                  <c:v>43.700000000000308</c:v>
                </c:pt>
                <c:pt idx="798">
                  <c:v>43.80000000000031</c:v>
                </c:pt>
                <c:pt idx="799">
                  <c:v>43.900000000000311</c:v>
                </c:pt>
                <c:pt idx="800">
                  <c:v>43.900100000000315</c:v>
                </c:pt>
                <c:pt idx="801">
                  <c:v>43.900200000000318</c:v>
                </c:pt>
                <c:pt idx="802">
                  <c:v>43.900300000000321</c:v>
                </c:pt>
                <c:pt idx="803">
                  <c:v>43.900400000000324</c:v>
                </c:pt>
                <c:pt idx="804">
                  <c:v>43.900500000000328</c:v>
                </c:pt>
                <c:pt idx="805">
                  <c:v>43.900600000000331</c:v>
                </c:pt>
                <c:pt idx="806">
                  <c:v>43.900700000000334</c:v>
                </c:pt>
                <c:pt idx="807">
                  <c:v>43.900800000000338</c:v>
                </c:pt>
                <c:pt idx="808">
                  <c:v>43.900900000000341</c:v>
                </c:pt>
                <c:pt idx="809">
                  <c:v>43.901000000000344</c:v>
                </c:pt>
                <c:pt idx="810">
                  <c:v>43.901100000000348</c:v>
                </c:pt>
                <c:pt idx="811">
                  <c:v>43.901200000000351</c:v>
                </c:pt>
                <c:pt idx="812">
                  <c:v>43.901300000000354</c:v>
                </c:pt>
                <c:pt idx="813">
                  <c:v>43.901400000000358</c:v>
                </c:pt>
                <c:pt idx="814">
                  <c:v>43.901500000000361</c:v>
                </c:pt>
                <c:pt idx="815">
                  <c:v>43.901600000000364</c:v>
                </c:pt>
                <c:pt idx="816">
                  <c:v>43.901700000000368</c:v>
                </c:pt>
                <c:pt idx="817">
                  <c:v>43.901800000000371</c:v>
                </c:pt>
                <c:pt idx="818">
                  <c:v>43.901900000000374</c:v>
                </c:pt>
                <c:pt idx="819">
                  <c:v>43.902000000000378</c:v>
                </c:pt>
                <c:pt idx="820">
                  <c:v>43.902100000000381</c:v>
                </c:pt>
                <c:pt idx="821">
                  <c:v>43.902200000000384</c:v>
                </c:pt>
                <c:pt idx="822">
                  <c:v>43.902300000000388</c:v>
                </c:pt>
                <c:pt idx="823">
                  <c:v>43.902400000000391</c:v>
                </c:pt>
                <c:pt idx="824">
                  <c:v>43.902500000000394</c:v>
                </c:pt>
                <c:pt idx="825">
                  <c:v>43.902600000000398</c:v>
                </c:pt>
                <c:pt idx="826">
                  <c:v>43.902700000000401</c:v>
                </c:pt>
                <c:pt idx="827">
                  <c:v>43.902800000000404</c:v>
                </c:pt>
                <c:pt idx="828">
                  <c:v>43.902900000000407</c:v>
                </c:pt>
                <c:pt idx="829">
                  <c:v>43.903000000000411</c:v>
                </c:pt>
                <c:pt idx="830">
                  <c:v>43.903100000000414</c:v>
                </c:pt>
                <c:pt idx="831">
                  <c:v>43.903200000000417</c:v>
                </c:pt>
                <c:pt idx="832">
                  <c:v>43.903300000000421</c:v>
                </c:pt>
                <c:pt idx="833">
                  <c:v>43.903400000000424</c:v>
                </c:pt>
                <c:pt idx="834">
                  <c:v>43.903500000000427</c:v>
                </c:pt>
                <c:pt idx="835">
                  <c:v>43.903600000000431</c:v>
                </c:pt>
                <c:pt idx="836">
                  <c:v>43.903700000000434</c:v>
                </c:pt>
                <c:pt idx="837">
                  <c:v>43.903800000000437</c:v>
                </c:pt>
                <c:pt idx="838">
                  <c:v>43.903900000000441</c:v>
                </c:pt>
                <c:pt idx="839">
                  <c:v>43.904000000000444</c:v>
                </c:pt>
                <c:pt idx="840">
                  <c:v>43.904100000000447</c:v>
                </c:pt>
                <c:pt idx="841">
                  <c:v>43.904200000000451</c:v>
                </c:pt>
                <c:pt idx="842">
                  <c:v>43.904300000000454</c:v>
                </c:pt>
                <c:pt idx="843">
                  <c:v>43.904400000000457</c:v>
                </c:pt>
                <c:pt idx="844">
                  <c:v>43.904500000000461</c:v>
                </c:pt>
                <c:pt idx="845">
                  <c:v>43.904600000000464</c:v>
                </c:pt>
                <c:pt idx="846">
                  <c:v>43.904700000000467</c:v>
                </c:pt>
                <c:pt idx="847">
                  <c:v>43.904800000000471</c:v>
                </c:pt>
                <c:pt idx="848">
                  <c:v>43.904900000000474</c:v>
                </c:pt>
                <c:pt idx="849">
                  <c:v>43.905000000000477</c:v>
                </c:pt>
                <c:pt idx="850">
                  <c:v>43.905100000000481</c:v>
                </c:pt>
                <c:pt idx="851">
                  <c:v>43.905200000000484</c:v>
                </c:pt>
                <c:pt idx="852">
                  <c:v>43.905300000000487</c:v>
                </c:pt>
                <c:pt idx="853">
                  <c:v>43.90540000000049</c:v>
                </c:pt>
                <c:pt idx="854">
                  <c:v>43.905500000000494</c:v>
                </c:pt>
                <c:pt idx="855">
                  <c:v>43.905600000000497</c:v>
                </c:pt>
                <c:pt idx="856">
                  <c:v>43.9057000000005</c:v>
                </c:pt>
                <c:pt idx="857">
                  <c:v>43.905800000000504</c:v>
                </c:pt>
                <c:pt idx="858">
                  <c:v>43.905900000000507</c:v>
                </c:pt>
                <c:pt idx="859">
                  <c:v>43.90600000000051</c:v>
                </c:pt>
                <c:pt idx="860">
                  <c:v>43.906100000000514</c:v>
                </c:pt>
                <c:pt idx="861">
                  <c:v>43.906200000000517</c:v>
                </c:pt>
                <c:pt idx="862">
                  <c:v>43.90630000000052</c:v>
                </c:pt>
                <c:pt idx="863">
                  <c:v>43.906400000000524</c:v>
                </c:pt>
                <c:pt idx="864">
                  <c:v>43.906500000000527</c:v>
                </c:pt>
                <c:pt idx="865">
                  <c:v>43.90660000000053</c:v>
                </c:pt>
                <c:pt idx="866">
                  <c:v>43.906700000000534</c:v>
                </c:pt>
                <c:pt idx="867">
                  <c:v>43.906800000000537</c:v>
                </c:pt>
                <c:pt idx="868">
                  <c:v>43.90690000000054</c:v>
                </c:pt>
                <c:pt idx="869">
                  <c:v>43.907000000000544</c:v>
                </c:pt>
                <c:pt idx="870">
                  <c:v>43.907100000000547</c:v>
                </c:pt>
                <c:pt idx="871">
                  <c:v>43.90720000000055</c:v>
                </c:pt>
                <c:pt idx="872">
                  <c:v>43.907300000000554</c:v>
                </c:pt>
                <c:pt idx="873">
                  <c:v>43.907400000000557</c:v>
                </c:pt>
                <c:pt idx="874">
                  <c:v>43.90750000000056</c:v>
                </c:pt>
                <c:pt idx="875">
                  <c:v>43.907600000000564</c:v>
                </c:pt>
                <c:pt idx="876">
                  <c:v>43.907700000000567</c:v>
                </c:pt>
                <c:pt idx="877">
                  <c:v>43.90780000000057</c:v>
                </c:pt>
                <c:pt idx="878">
                  <c:v>43.907900000000573</c:v>
                </c:pt>
                <c:pt idx="879">
                  <c:v>43.908000000000577</c:v>
                </c:pt>
                <c:pt idx="880">
                  <c:v>43.90810000000058</c:v>
                </c:pt>
                <c:pt idx="881">
                  <c:v>43.908200000000583</c:v>
                </c:pt>
                <c:pt idx="882">
                  <c:v>43.908300000000587</c:v>
                </c:pt>
                <c:pt idx="883">
                  <c:v>43.90840000000059</c:v>
                </c:pt>
                <c:pt idx="884">
                  <c:v>43.908500000000593</c:v>
                </c:pt>
                <c:pt idx="885">
                  <c:v>43.908600000000597</c:v>
                </c:pt>
                <c:pt idx="886">
                  <c:v>43.9087000000006</c:v>
                </c:pt>
                <c:pt idx="887">
                  <c:v>43.908800000000603</c:v>
                </c:pt>
                <c:pt idx="888">
                  <c:v>43.908900000000607</c:v>
                </c:pt>
                <c:pt idx="889">
                  <c:v>43.90900000000061</c:v>
                </c:pt>
                <c:pt idx="890">
                  <c:v>43.909100000000613</c:v>
                </c:pt>
                <c:pt idx="891">
                  <c:v>43.909200000000617</c:v>
                </c:pt>
                <c:pt idx="892">
                  <c:v>43.90930000000062</c:v>
                </c:pt>
                <c:pt idx="893">
                  <c:v>43.909400000000623</c:v>
                </c:pt>
                <c:pt idx="894">
                  <c:v>43.909500000000627</c:v>
                </c:pt>
                <c:pt idx="895">
                  <c:v>43.90960000000063</c:v>
                </c:pt>
                <c:pt idx="896">
                  <c:v>43.909700000000633</c:v>
                </c:pt>
                <c:pt idx="897">
                  <c:v>43.909800000000637</c:v>
                </c:pt>
                <c:pt idx="898">
                  <c:v>43.90990000000064</c:v>
                </c:pt>
                <c:pt idx="899">
                  <c:v>43.910000000000643</c:v>
                </c:pt>
                <c:pt idx="900">
                  <c:v>43.910100000000647</c:v>
                </c:pt>
                <c:pt idx="901">
                  <c:v>43.91020000000065</c:v>
                </c:pt>
                <c:pt idx="902">
                  <c:v>43.910300000000653</c:v>
                </c:pt>
                <c:pt idx="903">
                  <c:v>43.910400000000656</c:v>
                </c:pt>
                <c:pt idx="904">
                  <c:v>43.91050000000066</c:v>
                </c:pt>
                <c:pt idx="905">
                  <c:v>43.910600000000663</c:v>
                </c:pt>
                <c:pt idx="906">
                  <c:v>43.910700000000666</c:v>
                </c:pt>
                <c:pt idx="907">
                  <c:v>43.91080000000067</c:v>
                </c:pt>
                <c:pt idx="908">
                  <c:v>43.910900000000673</c:v>
                </c:pt>
                <c:pt idx="909">
                  <c:v>43.911000000000676</c:v>
                </c:pt>
                <c:pt idx="910">
                  <c:v>43.91110000000068</c:v>
                </c:pt>
                <c:pt idx="911">
                  <c:v>43.911200000000683</c:v>
                </c:pt>
                <c:pt idx="912">
                  <c:v>43.911300000000686</c:v>
                </c:pt>
                <c:pt idx="913">
                  <c:v>43.91140000000069</c:v>
                </c:pt>
                <c:pt idx="914">
                  <c:v>43.911500000000693</c:v>
                </c:pt>
                <c:pt idx="915">
                  <c:v>43.911600000000696</c:v>
                </c:pt>
                <c:pt idx="916">
                  <c:v>43.9117000000007</c:v>
                </c:pt>
                <c:pt idx="917">
                  <c:v>43.911800000000703</c:v>
                </c:pt>
                <c:pt idx="918">
                  <c:v>43.911900000000706</c:v>
                </c:pt>
                <c:pt idx="919">
                  <c:v>43.91200000000071</c:v>
                </c:pt>
                <c:pt idx="920">
                  <c:v>43.912100000000713</c:v>
                </c:pt>
                <c:pt idx="921">
                  <c:v>43.912200000000716</c:v>
                </c:pt>
                <c:pt idx="922">
                  <c:v>43.91230000000072</c:v>
                </c:pt>
                <c:pt idx="923">
                  <c:v>43.912400000000723</c:v>
                </c:pt>
                <c:pt idx="924">
                  <c:v>43.912500000000726</c:v>
                </c:pt>
                <c:pt idx="925">
                  <c:v>43.912600000000729</c:v>
                </c:pt>
                <c:pt idx="926">
                  <c:v>43.912700000000733</c:v>
                </c:pt>
                <c:pt idx="927">
                  <c:v>43.912800000000736</c:v>
                </c:pt>
                <c:pt idx="928">
                  <c:v>43.912900000000739</c:v>
                </c:pt>
                <c:pt idx="929">
                  <c:v>43.913000000000743</c:v>
                </c:pt>
                <c:pt idx="930">
                  <c:v>43.913100000000746</c:v>
                </c:pt>
                <c:pt idx="931">
                  <c:v>43.913200000000749</c:v>
                </c:pt>
                <c:pt idx="932">
                  <c:v>43.913300000000753</c:v>
                </c:pt>
                <c:pt idx="933">
                  <c:v>43.913400000000756</c:v>
                </c:pt>
                <c:pt idx="934">
                  <c:v>43.913500000000759</c:v>
                </c:pt>
                <c:pt idx="935">
                  <c:v>43.913600000000763</c:v>
                </c:pt>
                <c:pt idx="936">
                  <c:v>43.913700000000766</c:v>
                </c:pt>
                <c:pt idx="937">
                  <c:v>43.913800000000769</c:v>
                </c:pt>
                <c:pt idx="938">
                  <c:v>43.913900000000773</c:v>
                </c:pt>
                <c:pt idx="939">
                  <c:v>43.914000000000776</c:v>
                </c:pt>
                <c:pt idx="940">
                  <c:v>43.914100000000779</c:v>
                </c:pt>
                <c:pt idx="941">
                  <c:v>43.914200000000783</c:v>
                </c:pt>
                <c:pt idx="942">
                  <c:v>43.914300000000786</c:v>
                </c:pt>
                <c:pt idx="943">
                  <c:v>43.914400000000789</c:v>
                </c:pt>
                <c:pt idx="944">
                  <c:v>43.914500000000793</c:v>
                </c:pt>
                <c:pt idx="945">
                  <c:v>43.914600000000796</c:v>
                </c:pt>
                <c:pt idx="946">
                  <c:v>43.914700000000799</c:v>
                </c:pt>
                <c:pt idx="947">
                  <c:v>43.914800000000803</c:v>
                </c:pt>
                <c:pt idx="948">
                  <c:v>43.914900000000806</c:v>
                </c:pt>
                <c:pt idx="949">
                  <c:v>43.915000000000809</c:v>
                </c:pt>
                <c:pt idx="950">
                  <c:v>43.915100000000812</c:v>
                </c:pt>
                <c:pt idx="951">
                  <c:v>43.915200000000816</c:v>
                </c:pt>
                <c:pt idx="952">
                  <c:v>43.915300000000819</c:v>
                </c:pt>
                <c:pt idx="953">
                  <c:v>43.915400000000822</c:v>
                </c:pt>
                <c:pt idx="954">
                  <c:v>43.915500000000826</c:v>
                </c:pt>
                <c:pt idx="955">
                  <c:v>43.915600000000829</c:v>
                </c:pt>
                <c:pt idx="956">
                  <c:v>43.915700000000832</c:v>
                </c:pt>
                <c:pt idx="957">
                  <c:v>43.915800000000836</c:v>
                </c:pt>
                <c:pt idx="958">
                  <c:v>43.915900000000839</c:v>
                </c:pt>
                <c:pt idx="959">
                  <c:v>43.916000000000842</c:v>
                </c:pt>
                <c:pt idx="960">
                  <c:v>43.916100000000846</c:v>
                </c:pt>
                <c:pt idx="961">
                  <c:v>43.916200000000849</c:v>
                </c:pt>
                <c:pt idx="962">
                  <c:v>43.916300000000852</c:v>
                </c:pt>
                <c:pt idx="963">
                  <c:v>43.916400000000856</c:v>
                </c:pt>
                <c:pt idx="964">
                  <c:v>43.916500000000859</c:v>
                </c:pt>
                <c:pt idx="965">
                  <c:v>43.916600000000862</c:v>
                </c:pt>
                <c:pt idx="966">
                  <c:v>43.916700000000866</c:v>
                </c:pt>
                <c:pt idx="967">
                  <c:v>43.916800000000869</c:v>
                </c:pt>
                <c:pt idx="968">
                  <c:v>43.916900000000872</c:v>
                </c:pt>
                <c:pt idx="969">
                  <c:v>43.917000000000876</c:v>
                </c:pt>
                <c:pt idx="970">
                  <c:v>43.917100000000879</c:v>
                </c:pt>
                <c:pt idx="971">
                  <c:v>43.917200000000882</c:v>
                </c:pt>
                <c:pt idx="972">
                  <c:v>43.917300000000886</c:v>
                </c:pt>
                <c:pt idx="973">
                  <c:v>43.917400000000889</c:v>
                </c:pt>
                <c:pt idx="974">
                  <c:v>43.917500000000892</c:v>
                </c:pt>
                <c:pt idx="975">
                  <c:v>43.917600000000895</c:v>
                </c:pt>
                <c:pt idx="976">
                  <c:v>43.917700000000899</c:v>
                </c:pt>
                <c:pt idx="977">
                  <c:v>43.917800000000902</c:v>
                </c:pt>
                <c:pt idx="978">
                  <c:v>43.917900000000905</c:v>
                </c:pt>
                <c:pt idx="979">
                  <c:v>43.918000000000909</c:v>
                </c:pt>
                <c:pt idx="980">
                  <c:v>43.918100000000912</c:v>
                </c:pt>
                <c:pt idx="981">
                  <c:v>43.918200000000915</c:v>
                </c:pt>
                <c:pt idx="982">
                  <c:v>43.918300000000919</c:v>
                </c:pt>
                <c:pt idx="983">
                  <c:v>43.918400000000922</c:v>
                </c:pt>
                <c:pt idx="984">
                  <c:v>43.918500000000925</c:v>
                </c:pt>
                <c:pt idx="985">
                  <c:v>43.918600000000929</c:v>
                </c:pt>
                <c:pt idx="986">
                  <c:v>43.918700000000932</c:v>
                </c:pt>
                <c:pt idx="987">
                  <c:v>43.918800000000935</c:v>
                </c:pt>
                <c:pt idx="988">
                  <c:v>43.918900000000939</c:v>
                </c:pt>
                <c:pt idx="989">
                  <c:v>43.919000000000942</c:v>
                </c:pt>
                <c:pt idx="990">
                  <c:v>43.919100000000945</c:v>
                </c:pt>
                <c:pt idx="991">
                  <c:v>43.919200000000949</c:v>
                </c:pt>
                <c:pt idx="992">
                  <c:v>43.919300000000952</c:v>
                </c:pt>
                <c:pt idx="993">
                  <c:v>43.919400000000955</c:v>
                </c:pt>
                <c:pt idx="994">
                  <c:v>43.919500000000959</c:v>
                </c:pt>
                <c:pt idx="995">
                  <c:v>43.919600000000962</c:v>
                </c:pt>
                <c:pt idx="996">
                  <c:v>43.919700000000965</c:v>
                </c:pt>
                <c:pt idx="997">
                  <c:v>43.919800000000969</c:v>
                </c:pt>
                <c:pt idx="998">
                  <c:v>43.919900000000972</c:v>
                </c:pt>
                <c:pt idx="999">
                  <c:v>43.920000000000975</c:v>
                </c:pt>
                <c:pt idx="1000">
                  <c:v>43.920100000000978</c:v>
                </c:pt>
              </c:numCache>
            </c:numRef>
          </c:xVal>
          <c:yVal>
            <c:numRef>
              <c:f>Calculs!$I$4:$I$1004</c:f>
              <c:numCache>
                <c:formatCode>0.00</c:formatCode>
                <c:ptCount val="1001"/>
                <c:pt idx="0">
                  <c:v>100</c:v>
                </c:pt>
                <c:pt idx="1">
                  <c:v>99.98563239594047</c:v>
                </c:pt>
                <c:pt idx="2">
                  <c:v>100.2677791352077</c:v>
                </c:pt>
                <c:pt idx="3">
                  <c:v>100.8462813403362</c:v>
                </c:pt>
                <c:pt idx="4">
                  <c:v>101.72110938768786</c:v>
                </c:pt>
                <c:pt idx="5">
                  <c:v>102.89236087100501</c:v>
                </c:pt>
                <c:pt idx="6">
                  <c:v>104.20980386867095</c:v>
                </c:pt>
                <c:pt idx="7">
                  <c:v>105.52298859741313</c:v>
                </c:pt>
                <c:pt idx="8">
                  <c:v>106.83188964289006</c:v>
                </c:pt>
                <c:pt idx="9">
                  <c:v>108.13648182775587</c:v>
                </c:pt>
                <c:pt idx="10">
                  <c:v>109.43674021328196</c:v>
                </c:pt>
                <c:pt idx="11">
                  <c:v>110.73264010093979</c:v>
                </c:pt>
                <c:pt idx="12">
                  <c:v>112.02415703394499</c:v>
                </c:pt>
                <c:pt idx="13">
                  <c:v>113.31126679876236</c:v>
                </c:pt>
                <c:pt idx="14">
                  <c:v>114.59394542657161</c:v>
                </c:pt>
                <c:pt idx="15">
                  <c:v>115.87216919469338</c:v>
                </c:pt>
                <c:pt idx="16">
                  <c:v>117.14591462797587</c:v>
                </c:pt>
                <c:pt idx="17">
                  <c:v>118.41515850014113</c:v>
                </c:pt>
                <c:pt idx="18">
                  <c:v>119.67987783509165</c:v>
                </c:pt>
                <c:pt idx="19">
                  <c:v>120.94004990817646</c:v>
                </c:pt>
                <c:pt idx="20">
                  <c:v>122.19565224741704</c:v>
                </c:pt>
                <c:pt idx="21">
                  <c:v>123.44666263469252</c:v>
                </c:pt>
                <c:pt idx="22">
                  <c:v>124.69305910688449</c:v>
                </c:pt>
                <c:pt idx="23">
                  <c:v>125.934819956981</c:v>
                </c:pt>
                <c:pt idx="24">
                  <c:v>127.17192373513987</c:v>
                </c:pt>
                <c:pt idx="25">
                  <c:v>128.404349249711</c:v>
                </c:pt>
                <c:pt idx="26">
                  <c:v>129.63207556821806</c:v>
                </c:pt>
                <c:pt idx="27">
                  <c:v>130.8550820182989</c:v>
                </c:pt>
                <c:pt idx="28">
                  <c:v>132.07334818860554</c:v>
                </c:pt>
                <c:pt idx="29">
                  <c:v>133.28685392966258</c:v>
                </c:pt>
                <c:pt idx="30">
                  <c:v>134.49557935468513</c:v>
                </c:pt>
                <c:pt idx="31">
                  <c:v>135.69950484035559</c:v>
                </c:pt>
                <c:pt idx="32">
                  <c:v>136.89861102755958</c:v>
                </c:pt>
                <c:pt idx="33">
                  <c:v>138.09287882208108</c:v>
                </c:pt>
                <c:pt idx="34">
                  <c:v>139.28228939525647</c:v>
                </c:pt>
                <c:pt idx="35">
                  <c:v>140.46682418458821</c:v>
                </c:pt>
                <c:pt idx="36">
                  <c:v>141.6464648943176</c:v>
                </c:pt>
                <c:pt idx="37">
                  <c:v>142.82119349595698</c:v>
                </c:pt>
                <c:pt idx="38">
                  <c:v>143.99099222878135</c:v>
                </c:pt>
                <c:pt idx="39">
                  <c:v>145.15584360028001</c:v>
                </c:pt>
                <c:pt idx="40">
                  <c:v>146.31573038656734</c:v>
                </c:pt>
                <c:pt idx="41">
                  <c:v>147.47063563275398</c:v>
                </c:pt>
                <c:pt idx="42">
                  <c:v>148.62054265327771</c:v>
                </c:pt>
                <c:pt idx="43">
                  <c:v>149.7654350321946</c:v>
                </c:pt>
                <c:pt idx="44">
                  <c:v>150.90529662343064</c:v>
                </c:pt>
                <c:pt idx="45">
                  <c:v>152.04011155099346</c:v>
                </c:pt>
                <c:pt idx="46">
                  <c:v>153.16986420914523</c:v>
                </c:pt>
                <c:pt idx="47">
                  <c:v>154.29453926253615</c:v>
                </c:pt>
                <c:pt idx="48">
                  <c:v>155.41412164629907</c:v>
                </c:pt>
                <c:pt idx="49">
                  <c:v>156.52859656610548</c:v>
                </c:pt>
                <c:pt idx="50">
                  <c:v>157.63794949818299</c:v>
                </c:pt>
                <c:pt idx="51">
                  <c:v>158.74296661535308</c:v>
                </c:pt>
                <c:pt idx="52">
                  <c:v>159.84443475944013</c:v>
                </c:pt>
                <c:pt idx="53">
                  <c:v>160.94233985977061</c:v>
                </c:pt>
                <c:pt idx="54">
                  <c:v>162.03666802902671</c:v>
                </c:pt>
                <c:pt idx="55">
                  <c:v>163.1274055636446</c:v>
                </c:pt>
                <c:pt idx="56">
                  <c:v>164.21453894418843</c:v>
                </c:pt>
                <c:pt idx="57">
                  <c:v>165.29805483570047</c:v>
                </c:pt>
                <c:pt idx="58">
                  <c:v>166.37794008802717</c:v>
                </c:pt>
                <c:pt idx="59">
                  <c:v>167.45418173612128</c:v>
                </c:pt>
                <c:pt idx="60">
                  <c:v>168.52676700032012</c:v>
                </c:pt>
                <c:pt idx="61">
                  <c:v>169.59568328659986</c:v>
                </c:pt>
                <c:pt idx="62">
                  <c:v>170.66091818680641</c:v>
                </c:pt>
                <c:pt idx="63">
                  <c:v>171.72245947886262</c:v>
                </c:pt>
                <c:pt idx="64">
                  <c:v>172.78029512695167</c:v>
                </c:pt>
                <c:pt idx="65">
                  <c:v>173.83441328167734</c:v>
                </c:pt>
                <c:pt idx="66">
                  <c:v>174.8848022802008</c:v>
                </c:pt>
                <c:pt idx="67">
                  <c:v>175.93145064635425</c:v>
                </c:pt>
                <c:pt idx="68">
                  <c:v>176.9743470907313</c:v>
                </c:pt>
                <c:pt idx="69">
                  <c:v>178.01348051075462</c:v>
                </c:pt>
                <c:pt idx="70">
                  <c:v>179.04883999072035</c:v>
                </c:pt>
                <c:pt idx="71">
                  <c:v>180.08041480182007</c:v>
                </c:pt>
                <c:pt idx="72">
                  <c:v>181.10819440214001</c:v>
                </c:pt>
                <c:pt idx="73">
                  <c:v>182.13216843663781</c:v>
                </c:pt>
                <c:pt idx="74">
                  <c:v>183.15232673709684</c:v>
                </c:pt>
                <c:pt idx="75">
                  <c:v>184.1686593220584</c:v>
                </c:pt>
                <c:pt idx="76">
                  <c:v>185.18115639673192</c:v>
                </c:pt>
                <c:pt idx="77">
                  <c:v>186.18980835288295</c:v>
                </c:pt>
                <c:pt idx="78">
                  <c:v>187.19460576869992</c:v>
                </c:pt>
                <c:pt idx="79">
                  <c:v>188.19553940863872</c:v>
                </c:pt>
                <c:pt idx="80">
                  <c:v>189.19260022324619</c:v>
                </c:pt>
                <c:pt idx="81">
                  <c:v>190.18577934896231</c:v>
                </c:pt>
                <c:pt idx="82">
                  <c:v>191.17506810790118</c:v>
                </c:pt>
                <c:pt idx="83">
                  <c:v>192.16045800761117</c:v>
                </c:pt>
                <c:pt idx="84">
                  <c:v>193.14194074081422</c:v>
                </c:pt>
                <c:pt idx="85">
                  <c:v>194.11950818512466</c:v>
                </c:pt>
                <c:pt idx="86">
                  <c:v>195.09315240274762</c:v>
                </c:pt>
                <c:pt idx="87">
                  <c:v>196.0628656401573</c:v>
                </c:pt>
                <c:pt idx="88">
                  <c:v>197.02864032775494</c:v>
                </c:pt>
                <c:pt idx="89">
                  <c:v>197.99046907950736</c:v>
                </c:pt>
                <c:pt idx="90">
                  <c:v>198.94834469256571</c:v>
                </c:pt>
                <c:pt idx="91">
                  <c:v>199.90226014686471</c:v>
                </c:pt>
                <c:pt idx="92">
                  <c:v>200.85220860470275</c:v>
                </c:pt>
                <c:pt idx="93">
                  <c:v>201.79818341030301</c:v>
                </c:pt>
                <c:pt idx="94">
                  <c:v>202.74017808935574</c:v>
                </c:pt>
                <c:pt idx="95">
                  <c:v>203.67818634854186</c:v>
                </c:pt>
                <c:pt idx="96">
                  <c:v>204.61220207503828</c:v>
                </c:pt>
                <c:pt idx="97">
                  <c:v>205.54221933600499</c:v>
                </c:pt>
                <c:pt idx="98">
                  <c:v>206.46823237805421</c:v>
                </c:pt>
                <c:pt idx="99">
                  <c:v>207.39023562670175</c:v>
                </c:pt>
                <c:pt idx="100">
                  <c:v>208.30822368580081</c:v>
                </c:pt>
                <c:pt idx="101">
                  <c:v>209.22181796775911</c:v>
                </c:pt>
                <c:pt idx="102">
                  <c:v>210.13064022660757</c:v>
                </c:pt>
                <c:pt idx="103">
                  <c:v>211.03468643980676</c:v>
                </c:pt>
                <c:pt idx="104">
                  <c:v>211.93395279422595</c:v>
                </c:pt>
                <c:pt idx="105">
                  <c:v>212.82843568512644</c:v>
                </c:pt>
                <c:pt idx="106">
                  <c:v>213.71813171512628</c:v>
                </c:pt>
                <c:pt idx="107">
                  <c:v>214.60303769314606</c:v>
                </c:pt>
                <c:pt idx="108">
                  <c:v>215.48315063333644</c:v>
                </c:pt>
                <c:pt idx="109">
                  <c:v>216.35846775398778</c:v>
                </c:pt>
                <c:pt idx="110">
                  <c:v>217.22898647642205</c:v>
                </c:pt>
                <c:pt idx="111">
                  <c:v>218.09470442386746</c:v>
                </c:pt>
                <c:pt idx="112">
                  <c:v>218.95561942031614</c:v>
                </c:pt>
                <c:pt idx="113">
                  <c:v>219.81172948936535</c:v>
                </c:pt>
                <c:pt idx="114">
                  <c:v>220.6630328530423</c:v>
                </c:pt>
                <c:pt idx="115">
                  <c:v>221.50952793061307</c:v>
                </c:pt>
                <c:pt idx="116">
                  <c:v>222.35121333737621</c:v>
                </c:pt>
                <c:pt idx="117">
                  <c:v>223.18808788344083</c:v>
                </c:pt>
                <c:pt idx="118">
                  <c:v>224.02015057249014</c:v>
                </c:pt>
                <c:pt idx="119">
                  <c:v>224.84740060053028</c:v>
                </c:pt>
                <c:pt idx="120">
                  <c:v>225.66983735462503</c:v>
                </c:pt>
                <c:pt idx="121">
                  <c:v>226.48746041161704</c:v>
                </c:pt>
                <c:pt idx="122">
                  <c:v>227.30026953683497</c:v>
                </c:pt>
                <c:pt idx="123">
                  <c:v>228.10826468278833</c:v>
                </c:pt>
                <c:pt idx="124">
                  <c:v>228.91144598784882</c:v>
                </c:pt>
                <c:pt idx="125">
                  <c:v>229.70981377491978</c:v>
                </c:pt>
                <c:pt idx="126">
                  <c:v>230.5033685500934</c:v>
                </c:pt>
                <c:pt idx="127">
                  <c:v>231.29211100129609</c:v>
                </c:pt>
                <c:pt idx="128">
                  <c:v>232.07604199692284</c:v>
                </c:pt>
                <c:pt idx="129">
                  <c:v>232.85516258446009</c:v>
                </c:pt>
                <c:pt idx="130">
                  <c:v>233.62947398909827</c:v>
                </c:pt>
                <c:pt idx="131">
                  <c:v>234.39897761233391</c:v>
                </c:pt>
                <c:pt idx="132">
                  <c:v>235.16367503056159</c:v>
                </c:pt>
                <c:pt idx="133">
                  <c:v>235.92356799365652</c:v>
                </c:pt>
                <c:pt idx="134">
                  <c:v>236.6786584235474</c:v>
                </c:pt>
                <c:pt idx="135">
                  <c:v>237.42894841278073</c:v>
                </c:pt>
                <c:pt idx="136">
                  <c:v>238.17444022307606</c:v>
                </c:pt>
                <c:pt idx="137">
                  <c:v>238.91513628387318</c:v>
                </c:pt>
                <c:pt idx="138">
                  <c:v>239.65103919087107</c:v>
                </c:pt>
                <c:pt idx="139">
                  <c:v>240.3821517045595</c:v>
                </c:pt>
                <c:pt idx="140">
                  <c:v>241.10847674874293</c:v>
                </c:pt>
                <c:pt idx="141">
                  <c:v>241.83001740905769</c:v>
                </c:pt>
                <c:pt idx="142">
                  <c:v>242.54677693148219</c:v>
                </c:pt>
                <c:pt idx="143">
                  <c:v>243.25875872084086</c:v>
                </c:pt>
                <c:pt idx="144">
                  <c:v>243.96596633930224</c:v>
                </c:pt>
                <c:pt idx="145">
                  <c:v>244.66840350487089</c:v>
                </c:pt>
                <c:pt idx="146">
                  <c:v>245.36607408987416</c:v>
                </c:pt>
                <c:pt idx="147">
                  <c:v>246.05898211944373</c:v>
                </c:pt>
                <c:pt idx="148">
                  <c:v>246.74713176999234</c:v>
                </c:pt>
                <c:pt idx="149">
                  <c:v>247.43052736768612</c:v>
                </c:pt>
                <c:pt idx="150">
                  <c:v>248.10917338691252</c:v>
                </c:pt>
                <c:pt idx="151">
                  <c:v>248.7832028842048</c:v>
                </c:pt>
                <c:pt idx="152">
                  <c:v>249.45274888900937</c:v>
                </c:pt>
                <c:pt idx="153">
                  <c:v>250.11781580553813</c:v>
                </c:pt>
                <c:pt idx="154">
                  <c:v>250.77840817161123</c:v>
                </c:pt>
                <c:pt idx="155">
                  <c:v>251.43453065725697</c:v>
                </c:pt>
                <c:pt idx="156">
                  <c:v>252.08618806330858</c:v>
                </c:pt>
                <c:pt idx="157">
                  <c:v>252.73338531999926</c:v>
                </c:pt>
                <c:pt idx="158">
                  <c:v>253.37612748555472</c:v>
                </c:pt>
                <c:pt idx="159">
                  <c:v>254.01441974478385</c:v>
                </c:pt>
                <c:pt idx="160">
                  <c:v>254.64826740766804</c:v>
                </c:pt>
                <c:pt idx="161">
                  <c:v>255.27767590794889</c:v>
                </c:pt>
                <c:pt idx="162">
                  <c:v>255.90265080171483</c:v>
                </c:pt>
                <c:pt idx="163">
                  <c:v>256.52319776598699</c:v>
                </c:pt>
                <c:pt idx="164">
                  <c:v>257.13932259730421</c:v>
                </c:pt>
                <c:pt idx="165">
                  <c:v>257.75103121030776</c:v>
                </c:pt>
                <c:pt idx="166">
                  <c:v>258.35832963632583</c:v>
                </c:pt>
                <c:pt idx="167">
                  <c:v>258.96122402195783</c:v>
                </c:pt>
                <c:pt idx="168">
                  <c:v>259.55972062765954</c:v>
                </c:pt>
                <c:pt idx="169">
                  <c:v>260.15382582632787</c:v>
                </c:pt>
                <c:pt idx="170">
                  <c:v>260.74354610188692</c:v>
                </c:pt>
                <c:pt idx="171">
                  <c:v>261.3288880478749</c:v>
                </c:pt>
                <c:pt idx="172">
                  <c:v>261.90985836603181</c:v>
                </c:pt>
                <c:pt idx="173">
                  <c:v>262.48646386488883</c:v>
                </c:pt>
                <c:pt idx="174">
                  <c:v>263.05871145835903</c:v>
                </c:pt>
                <c:pt idx="175">
                  <c:v>263.62660816432958</c:v>
                </c:pt>
                <c:pt idx="176">
                  <c:v>264.19016110325657</c:v>
                </c:pt>
                <c:pt idx="177">
                  <c:v>264.74937749676121</c:v>
                </c:pt>
                <c:pt idx="178">
                  <c:v>265.30426466622873</c:v>
                </c:pt>
                <c:pt idx="179">
                  <c:v>265.85483003140979</c:v>
                </c:pt>
                <c:pt idx="180">
                  <c:v>266.40108110902452</c:v>
                </c:pt>
                <c:pt idx="181">
                  <c:v>266.94302551136934</c:v>
                </c:pt>
                <c:pt idx="182">
                  <c:v>267.48067094492706</c:v>
                </c:pt>
                <c:pt idx="183">
                  <c:v>268.01402520897989</c:v>
                </c:pt>
                <c:pt idx="184">
                  <c:v>268.54309619422634</c:v>
                </c:pt>
                <c:pt idx="185">
                  <c:v>269.06789188140129</c:v>
                </c:pt>
                <c:pt idx="186">
                  <c:v>269.58842033990015</c:v>
                </c:pt>
                <c:pt idx="187">
                  <c:v>270.10468972640643</c:v>
                </c:pt>
                <c:pt idx="188">
                  <c:v>270.61670828352408</c:v>
                </c:pt>
                <c:pt idx="189">
                  <c:v>271.12448433841377</c:v>
                </c:pt>
                <c:pt idx="190">
                  <c:v>271.62802630143318</c:v>
                </c:pt>
                <c:pt idx="191">
                  <c:v>272.12734266478276</c:v>
                </c:pt>
                <c:pt idx="192">
                  <c:v>272.62244200115515</c:v>
                </c:pt>
                <c:pt idx="193">
                  <c:v>273.11333296239042</c:v>
                </c:pt>
                <c:pt idx="194">
                  <c:v>273.60002427813561</c:v>
                </c:pt>
                <c:pt idx="195">
                  <c:v>274.08252475451002</c:v>
                </c:pt>
                <c:pt idx="196">
                  <c:v>274.56084327277506</c:v>
                </c:pt>
                <c:pt idx="197">
                  <c:v>275.03498878801037</c:v>
                </c:pt>
                <c:pt idx="198">
                  <c:v>275.50497032779475</c:v>
                </c:pt>
                <c:pt idx="199">
                  <c:v>275.97079699089352</c:v>
                </c:pt>
                <c:pt idx="200">
                  <c:v>276.43247794595084</c:v>
                </c:pt>
                <c:pt idx="201">
                  <c:v>276.89002243018888</c:v>
                </c:pt>
                <c:pt idx="202">
                  <c:v>277.3434397481123</c:v>
                </c:pt>
                <c:pt idx="203">
                  <c:v>277.79273927021944</c:v>
                </c:pt>
                <c:pt idx="204">
                  <c:v>278.23793043171963</c:v>
                </c:pt>
                <c:pt idx="205">
                  <c:v>278.67902273125674</c:v>
                </c:pt>
                <c:pt idx="206">
                  <c:v>279.11602572963972</c:v>
                </c:pt>
                <c:pt idx="207">
                  <c:v>279.54894904857912</c:v>
                </c:pt>
                <c:pt idx="208">
                  <c:v>279.97780236943117</c:v>
                </c:pt>
                <c:pt idx="209">
                  <c:v>280.40259543194804</c:v>
                </c:pt>
                <c:pt idx="210">
                  <c:v>280.82333803303521</c:v>
                </c:pt>
                <c:pt idx="211">
                  <c:v>281.24004002551595</c:v>
                </c:pt>
                <c:pt idx="212">
                  <c:v>281.65271131690321</c:v>
                </c:pt>
                <c:pt idx="213">
                  <c:v>282.0613618681781</c:v>
                </c:pt>
                <c:pt idx="214">
                  <c:v>282.46600169257641</c:v>
                </c:pt>
                <c:pt idx="215">
                  <c:v>282.86664085438184</c:v>
                </c:pt>
                <c:pt idx="216">
                  <c:v>283.26328946772708</c:v>
                </c:pt>
                <c:pt idx="217">
                  <c:v>283.65595769540278</c:v>
                </c:pt>
                <c:pt idx="218">
                  <c:v>284.04465574767346</c:v>
                </c:pt>
                <c:pt idx="219">
                  <c:v>284.42939388110148</c:v>
                </c:pt>
                <c:pt idx="220">
                  <c:v>284.81018239737904</c:v>
                </c:pt>
                <c:pt idx="221">
                  <c:v>285.18703164216771</c:v>
                </c:pt>
                <c:pt idx="222">
                  <c:v>285.55995200394591</c:v>
                </c:pt>
                <c:pt idx="223">
                  <c:v>285.92895391286459</c:v>
                </c:pt>
                <c:pt idx="224">
                  <c:v>286.29404783961047</c:v>
                </c:pt>
                <c:pt idx="225">
                  <c:v>286.65524429427865</c:v>
                </c:pt>
                <c:pt idx="226">
                  <c:v>287.01255382525142</c:v>
                </c:pt>
                <c:pt idx="227">
                  <c:v>287.3659870180872</c:v>
                </c:pt>
                <c:pt idx="228">
                  <c:v>287.71555449441666</c:v>
                </c:pt>
                <c:pt idx="229">
                  <c:v>288.06126691084739</c:v>
                </c:pt>
                <c:pt idx="230">
                  <c:v>288.40313495787723</c:v>
                </c:pt>
                <c:pt idx="231">
                  <c:v>288.74116935881574</c:v>
                </c:pt>
                <c:pt idx="232">
                  <c:v>289.07538086871432</c:v>
                </c:pt>
                <c:pt idx="233">
                  <c:v>289.40578027330446</c:v>
                </c:pt>
                <c:pt idx="234">
                  <c:v>289.73237838794546</c:v>
                </c:pt>
                <c:pt idx="235">
                  <c:v>290.05518605657932</c:v>
                </c:pt>
                <c:pt idx="236">
                  <c:v>290.37421415069588</c:v>
                </c:pt>
                <c:pt idx="237">
                  <c:v>290.68947356830512</c:v>
                </c:pt>
                <c:pt idx="238">
                  <c:v>291.00097523291919</c:v>
                </c:pt>
                <c:pt idx="239">
                  <c:v>291.30873009254276</c:v>
                </c:pt>
                <c:pt idx="240">
                  <c:v>291.61274911867213</c:v>
                </c:pt>
                <c:pt idx="241">
                  <c:v>291.91304330530278</c:v>
                </c:pt>
                <c:pt idx="242">
                  <c:v>292.20962366794674</c:v>
                </c:pt>
                <c:pt idx="243">
                  <c:v>292.5025012426575</c:v>
                </c:pt>
                <c:pt idx="244">
                  <c:v>292.7916870850645</c:v>
                </c:pt>
                <c:pt idx="245">
                  <c:v>293.07719226941623</c:v>
                </c:pt>
                <c:pt idx="246">
                  <c:v>293.35902788763264</c:v>
                </c:pt>
                <c:pt idx="247">
                  <c:v>293.63720504836533</c:v>
                </c:pt>
                <c:pt idx="248">
                  <c:v>293.91173487606812</c:v>
                </c:pt>
                <c:pt idx="249">
                  <c:v>294.18262851007495</c:v>
                </c:pt>
                <c:pt idx="250">
                  <c:v>294.44989710368804</c:v>
                </c:pt>
                <c:pt idx="251">
                  <c:v>294.71298711831645</c:v>
                </c:pt>
                <c:pt idx="252">
                  <c:v>294.97134651968895</c:v>
                </c:pt>
                <c:pt idx="253">
                  <c:v>295.22499005227297</c:v>
                </c:pt>
                <c:pt idx="254">
                  <c:v>295.47393248124251</c:v>
                </c:pt>
                <c:pt idx="255">
                  <c:v>295.71818859104081</c:v>
                </c:pt>
                <c:pt idx="256">
                  <c:v>295.95777318395835</c:v>
                </c:pt>
                <c:pt idx="257">
                  <c:v>296.19270107872518</c:v>
                </c:pt>
                <c:pt idx="258">
                  <c:v>296.42298710911922</c:v>
                </c:pt>
                <c:pt idx="259">
                  <c:v>296.64864612258862</c:v>
                </c:pt>
                <c:pt idx="260">
                  <c:v>296.86969297888993</c:v>
                </c:pt>
                <c:pt idx="261">
                  <c:v>297.08614254874044</c:v>
                </c:pt>
                <c:pt idx="262">
                  <c:v>297.29800971248636</c:v>
                </c:pt>
                <c:pt idx="263">
                  <c:v>297.50530935878544</c:v>
                </c:pt>
                <c:pt idx="264">
                  <c:v>297.70805638330461</c:v>
                </c:pt>
                <c:pt idx="265">
                  <c:v>297.90626568743272</c:v>
                </c:pt>
                <c:pt idx="266">
                  <c:v>298.09995217700839</c:v>
                </c:pt>
                <c:pt idx="267">
                  <c:v>298.28913076106215</c:v>
                </c:pt>
                <c:pt idx="268">
                  <c:v>298.47381635057417</c:v>
                </c:pt>
                <c:pt idx="269">
                  <c:v>298.65402385724627</c:v>
                </c:pt>
                <c:pt idx="270">
                  <c:v>298.82976819228941</c:v>
                </c:pt>
                <c:pt idx="271">
                  <c:v>299.00106426522512</c:v>
                </c:pt>
                <c:pt idx="272">
                  <c:v>299.16792698270257</c:v>
                </c:pt>
                <c:pt idx="273">
                  <c:v>299.33037124732977</c:v>
                </c:pt>
                <c:pt idx="274">
                  <c:v>299.48841195651954</c:v>
                </c:pt>
                <c:pt idx="275">
                  <c:v>299.64206400135049</c:v>
                </c:pt>
                <c:pt idx="276">
                  <c:v>299.79134226544193</c:v>
                </c:pt>
                <c:pt idx="277">
                  <c:v>299.9362616238443</c:v>
                </c:pt>
                <c:pt idx="278">
                  <c:v>300.0768369419427</c:v>
                </c:pt>
                <c:pt idx="279">
                  <c:v>300.21308307437641</c:v>
                </c:pt>
                <c:pt idx="280">
                  <c:v>300.34501486397164</c:v>
                </c:pt>
                <c:pt idx="281">
                  <c:v>300.47264714068928</c:v>
                </c:pt>
                <c:pt idx="282">
                  <c:v>300.59599472058648</c:v>
                </c:pt>
                <c:pt idx="283">
                  <c:v>300.71507240479275</c:v>
                </c:pt>
                <c:pt idx="284">
                  <c:v>300.82989497850008</c:v>
                </c:pt>
                <c:pt idx="285">
                  <c:v>300.9404772099673</c:v>
                </c:pt>
                <c:pt idx="286">
                  <c:v>301.0468338495383</c:v>
                </c:pt>
                <c:pt idx="287">
                  <c:v>301.14897962867394</c:v>
                </c:pt>
                <c:pt idx="288">
                  <c:v>301.24692925899893</c:v>
                </c:pt>
                <c:pt idx="289">
                  <c:v>301.34069743136081</c:v>
                </c:pt>
                <c:pt idx="290">
                  <c:v>301.43029881490452</c:v>
                </c:pt>
                <c:pt idx="291">
                  <c:v>301.51574805615905</c:v>
                </c:pt>
                <c:pt idx="292">
                  <c:v>301.59705977813906</c:v>
                </c:pt>
                <c:pt idx="293">
                  <c:v>301.67424857945866</c:v>
                </c:pt>
                <c:pt idx="294">
                  <c:v>301.74732903345989</c:v>
                </c:pt>
                <c:pt idx="295">
                  <c:v>301.81631568735372</c:v>
                </c:pt>
                <c:pt idx="296">
                  <c:v>301.88122306137478</c:v>
                </c:pt>
                <c:pt idx="297">
                  <c:v>301.94206564794911</c:v>
                </c:pt>
                <c:pt idx="298">
                  <c:v>301.99261431595994</c:v>
                </c:pt>
                <c:pt idx="299">
                  <c:v>302.02665969176655</c:v>
                </c:pt>
                <c:pt idx="300">
                  <c:v>302.04426098316105</c:v>
                </c:pt>
                <c:pt idx="301">
                  <c:v>302.04547756325957</c:v>
                </c:pt>
                <c:pt idx="302">
                  <c:v>302.03036895538798</c:v>
                </c:pt>
                <c:pt idx="303">
                  <c:v>301.9989948181663</c:v>
                </c:pt>
                <c:pt idx="304">
                  <c:v>301.9514149307941</c:v>
                </c:pt>
                <c:pt idx="305">
                  <c:v>301.88768917853656</c:v>
                </c:pt>
                <c:pt idx="306">
                  <c:v>301.80787753841247</c:v>
                </c:pt>
                <c:pt idx="307">
                  <c:v>301.71204006508435</c:v>
                </c:pt>
                <c:pt idx="308">
                  <c:v>301.60023687695133</c:v>
                </c:pt>
                <c:pt idx="309">
                  <c:v>301.47252814244536</c:v>
                </c:pt>
                <c:pt idx="310">
                  <c:v>301.32897406653001</c:v>
                </c:pt>
                <c:pt idx="311">
                  <c:v>301.16963487740327</c:v>
                </c:pt>
                <c:pt idx="312">
                  <c:v>300.99457081340353</c:v>
                </c:pt>
                <c:pt idx="313">
                  <c:v>300.80384211011858</c:v>
                </c:pt>
                <c:pt idx="314">
                  <c:v>300.59750898769795</c:v>
                </c:pt>
                <c:pt idx="315">
                  <c:v>300.3756316383683</c:v>
                </c:pt>
                <c:pt idx="316">
                  <c:v>300.13827021415028</c:v>
                </c:pt>
                <c:pt idx="317">
                  <c:v>299.88548481477875</c:v>
                </c:pt>
                <c:pt idx="318">
                  <c:v>299.61733547582298</c:v>
                </c:pt>
                <c:pt idx="319">
                  <c:v>299.3338821570087</c:v>
                </c:pt>
                <c:pt idx="320">
                  <c:v>299.03518473073962</c:v>
                </c:pt>
                <c:pt idx="321">
                  <c:v>298.7237918596839</c:v>
                </c:pt>
                <c:pt idx="322">
                  <c:v>298.40224242206426</c:v>
                </c:pt>
                <c:pt idx="323">
                  <c:v>298.07057552044944</c:v>
                </c:pt>
                <c:pt idx="324">
                  <c:v>297.72883010177713</c:v>
                </c:pt>
                <c:pt idx="325">
                  <c:v>297.37704495333202</c:v>
                </c:pt>
                <c:pt idx="326">
                  <c:v>297.01525869880675</c:v>
                </c:pt>
                <c:pt idx="327">
                  <c:v>296.64350979444612</c:v>
                </c:pt>
                <c:pt idx="328">
                  <c:v>296.26183652527322</c:v>
                </c:pt>
                <c:pt idx="329">
                  <c:v>295.87027700139674</c:v>
                </c:pt>
                <c:pt idx="330">
                  <c:v>295.46886915439819</c:v>
                </c:pt>
                <c:pt idx="331">
                  <c:v>295.05765073379894</c:v>
                </c:pt>
                <c:pt idx="332">
                  <c:v>294.63665930360548</c:v>
                </c:pt>
                <c:pt idx="333">
                  <c:v>294.20593223893201</c:v>
                </c:pt>
                <c:pt idx="334">
                  <c:v>293.76550672270008</c:v>
                </c:pt>
                <c:pt idx="335">
                  <c:v>293.31541974241355</c:v>
                </c:pt>
                <c:pt idx="336">
                  <c:v>292.85570808700834</c:v>
                </c:pt>
                <c:pt idx="337">
                  <c:v>292.38640834377645</c:v>
                </c:pt>
                <c:pt idx="338">
                  <c:v>291.90755689536212</c:v>
                </c:pt>
                <c:pt idx="339">
                  <c:v>291.41918991683053</c:v>
                </c:pt>
                <c:pt idx="340">
                  <c:v>290.92134337280743</c:v>
                </c:pt>
                <c:pt idx="341">
                  <c:v>290.41405301468819</c:v>
                </c:pt>
                <c:pt idx="342">
                  <c:v>289.89735437791717</c:v>
                </c:pt>
                <c:pt idx="343">
                  <c:v>289.37128277933351</c:v>
                </c:pt>
                <c:pt idx="344">
                  <c:v>288.83587331458563</c:v>
                </c:pt>
                <c:pt idx="345">
                  <c:v>288.29116085561111</c:v>
                </c:pt>
                <c:pt idx="346">
                  <c:v>287.73718004818193</c:v>
                </c:pt>
                <c:pt idx="347">
                  <c:v>287.1739653095139</c:v>
                </c:pt>
                <c:pt idx="348">
                  <c:v>286.6018195653902</c:v>
                </c:pt>
                <c:pt idx="349">
                  <c:v>286.02104435772026</c:v>
                </c:pt>
                <c:pt idx="350">
                  <c:v>285.4316710764088</c:v>
                </c:pt>
                <c:pt idx="351">
                  <c:v>284.83373088312158</c:v>
                </c:pt>
                <c:pt idx="352">
                  <c:v>284.22725470958812</c:v>
                </c:pt>
                <c:pt idx="353">
                  <c:v>283.61227325595416</c:v>
                </c:pt>
                <c:pt idx="354">
                  <c:v>282.98881698918353</c:v>
                </c:pt>
                <c:pt idx="355">
                  <c:v>282.35691614150835</c:v>
                </c:pt>
                <c:pt idx="356">
                  <c:v>281.71660070892676</c:v>
                </c:pt>
                <c:pt idx="357">
                  <c:v>281.06790044974701</c:v>
                </c:pt>
                <c:pt idx="358">
                  <c:v>280.41084488317784</c:v>
                </c:pt>
                <c:pt idx="359">
                  <c:v>279.74546328796328</c:v>
                </c:pt>
                <c:pt idx="360">
                  <c:v>279.07737424127788</c:v>
                </c:pt>
                <c:pt idx="361">
                  <c:v>278.41217156758665</c:v>
                </c:pt>
                <c:pt idx="362">
                  <c:v>277.74983509921401</c:v>
                </c:pt>
                <c:pt idx="363">
                  <c:v>277.09034485727096</c:v>
                </c:pt>
                <c:pt idx="364">
                  <c:v>276.43368104943937</c:v>
                </c:pt>
                <c:pt idx="365">
                  <c:v>275.77982406778676</c:v>
                </c:pt>
                <c:pt idx="366">
                  <c:v>275.12875448661254</c:v>
                </c:pt>
                <c:pt idx="367">
                  <c:v>274.48045306032407</c:v>
                </c:pt>
                <c:pt idx="368">
                  <c:v>273.83490072134242</c:v>
                </c:pt>
                <c:pt idx="369">
                  <c:v>273.19207857803781</c:v>
                </c:pt>
                <c:pt idx="370">
                  <c:v>272.5519679126935</c:v>
                </c:pt>
                <c:pt idx="371">
                  <c:v>271.91455017949784</c:v>
                </c:pt>
                <c:pt idx="372">
                  <c:v>271.27980700256444</c:v>
                </c:pt>
                <c:pt idx="373">
                  <c:v>270.64772017397974</c:v>
                </c:pt>
                <c:pt idx="374">
                  <c:v>270.01827165187746</c:v>
                </c:pt>
                <c:pt idx="375">
                  <c:v>269.39144355853949</c:v>
                </c:pt>
                <c:pt idx="376">
                  <c:v>268.76721817852291</c:v>
                </c:pt>
                <c:pt idx="377">
                  <c:v>268.14557795681316</c:v>
                </c:pt>
                <c:pt idx="378">
                  <c:v>267.52650549700127</c:v>
                </c:pt>
                <c:pt idx="379">
                  <c:v>266.90998355948744</c:v>
                </c:pt>
                <c:pt idx="380">
                  <c:v>266.29599505970805</c:v>
                </c:pt>
                <c:pt idx="381">
                  <c:v>265.68452306638727</c:v>
                </c:pt>
                <c:pt idx="382">
                  <c:v>265.07555079981177</c:v>
                </c:pt>
                <c:pt idx="383">
                  <c:v>264.46906163012972</c:v>
                </c:pt>
                <c:pt idx="384">
                  <c:v>263.86503907567186</c:v>
                </c:pt>
                <c:pt idx="385">
                  <c:v>263.26346680129535</c:v>
                </c:pt>
                <c:pt idx="386">
                  <c:v>262.66432861675048</c:v>
                </c:pt>
                <c:pt idx="387">
                  <c:v>262.06760847506814</c:v>
                </c:pt>
                <c:pt idx="388">
                  <c:v>261.47329047097003</c:v>
                </c:pt>
                <c:pt idx="389">
                  <c:v>260.88135883929931</c:v>
                </c:pt>
                <c:pt idx="390">
                  <c:v>260.29179795347221</c:v>
                </c:pt>
                <c:pt idx="391">
                  <c:v>259.70459232395069</c:v>
                </c:pt>
                <c:pt idx="392">
                  <c:v>259.11972659673461</c:v>
                </c:pt>
                <c:pt idx="393">
                  <c:v>258.53718555187447</c:v>
                </c:pt>
                <c:pt idx="394">
                  <c:v>257.95695410200346</c:v>
                </c:pt>
                <c:pt idx="395">
                  <c:v>257.37901729088856</c:v>
                </c:pt>
                <c:pt idx="396">
                  <c:v>256.80336029200151</c:v>
                </c:pt>
                <c:pt idx="397">
                  <c:v>256.22996840710755</c:v>
                </c:pt>
                <c:pt idx="398">
                  <c:v>255.65882706487315</c:v>
                </c:pt>
                <c:pt idx="399">
                  <c:v>255.08992181949162</c:v>
                </c:pt>
                <c:pt idx="400">
                  <c:v>254.52323834932707</c:v>
                </c:pt>
                <c:pt idx="401">
                  <c:v>248.87855285465028</c:v>
                </c:pt>
                <c:pt idx="402">
                  <c:v>243.45056188625196</c:v>
                </c:pt>
                <c:pt idx="403">
                  <c:v>238.2258245430717</c:v>
                </c:pt>
                <c:pt idx="404">
                  <c:v>233.19199973190933</c:v>
                </c:pt>
                <c:pt idx="405">
                  <c:v>228.33773502141997</c:v>
                </c:pt>
                <c:pt idx="406">
                  <c:v>223.65256878438268</c:v>
                </c:pt>
                <c:pt idx="407">
                  <c:v>219.12684380326775</c:v>
                </c:pt>
                <c:pt idx="408">
                  <c:v>214.75163079602333</c:v>
                </c:pt>
                <c:pt idx="409">
                  <c:v>210.51866055270332</c:v>
                </c:pt>
                <c:pt idx="410">
                  <c:v>206.42026356807457</c:v>
                </c:pt>
                <c:pt idx="411">
                  <c:v>202.44931621785699</c:v>
                </c:pt>
                <c:pt idx="412">
                  <c:v>198.59919266251822</c:v>
                </c:pt>
                <c:pt idx="413">
                  <c:v>194.86372177720654</c:v>
                </c:pt>
                <c:pt idx="414">
                  <c:v>191.23714850320951</c:v>
                </c:pt>
                <c:pt idx="415">
                  <c:v>187.71409909831652</c:v>
                </c:pt>
                <c:pt idx="416">
                  <c:v>184.28954983311979</c:v>
                </c:pt>
                <c:pt idx="417">
                  <c:v>180.95879873965001</c:v>
                </c:pt>
                <c:pt idx="418">
                  <c:v>177.71744006946707</c:v>
                </c:pt>
                <c:pt idx="419">
                  <c:v>174.56134116179919</c:v>
                </c:pt>
                <c:pt idx="420">
                  <c:v>171.48662145967538</c:v>
                </c:pt>
                <c:pt idx="421">
                  <c:v>168.48963344417547</c:v>
                </c:pt>
                <c:pt idx="422">
                  <c:v>165.56694528471166</c:v>
                </c:pt>
                <c:pt idx="423">
                  <c:v>162.71532502731409</c:v>
                </c:pt>
                <c:pt idx="424">
                  <c:v>159.93172616377032</c:v>
                </c:pt>
                <c:pt idx="425">
                  <c:v>157.21327444262451</c:v>
                </c:pt>
                <c:pt idx="426">
                  <c:v>154.55725579886789</c:v>
                </c:pt>
                <c:pt idx="427">
                  <c:v>151.96110529297567</c:v>
                </c:pt>
                <c:pt idx="428">
                  <c:v>149.42239696204433</c:v>
                </c:pt>
                <c:pt idx="429">
                  <c:v>146.93883449639415</c:v>
                </c:pt>
                <c:pt idx="430">
                  <c:v>144.50824266432673</c:v>
                </c:pt>
                <c:pt idx="431">
                  <c:v>142.12855941593668</c:v>
                </c:pt>
                <c:pt idx="432">
                  <c:v>139.79782860411575</c:v>
                </c:pt>
                <c:pt idx="433">
                  <c:v>137.51419326728745</c:v>
                </c:pt>
                <c:pt idx="434">
                  <c:v>135.27588942407115</c:v>
                </c:pt>
                <c:pt idx="435">
                  <c:v>133.08124033509671</c:v>
                </c:pt>
                <c:pt idx="436">
                  <c:v>130.92865119164949</c:v>
                </c:pt>
                <c:pt idx="437">
                  <c:v>128.81660419479189</c:v>
                </c:pt>
                <c:pt idx="438">
                  <c:v>126.74365399214197</c:v>
                </c:pt>
                <c:pt idx="439">
                  <c:v>124.70842344264389</c:v>
                </c:pt>
                <c:pt idx="440">
                  <c:v>122.70959968248224</c:v>
                </c:pt>
                <c:pt idx="441">
                  <c:v>120.74593046781655</c:v>
                </c:pt>
                <c:pt idx="442">
                  <c:v>118.81622077227271</c:v>
                </c:pt>
                <c:pt idx="443">
                  <c:v>116.91932961915877</c:v>
                </c:pt>
                <c:pt idx="444">
                  <c:v>115.05416713019736</c:v>
                </c:pt>
                <c:pt idx="445">
                  <c:v>113.2196917742108</c:v>
                </c:pt>
                <c:pt idx="446">
                  <c:v>111.41490780067609</c:v>
                </c:pt>
                <c:pt idx="447">
                  <c:v>109.63886284440547</c:v>
                </c:pt>
                <c:pt idx="448">
                  <c:v>107.89064568881764</c:v>
                </c:pt>
                <c:pt idx="449">
                  <c:v>106.16938417636116</c:v>
                </c:pt>
                <c:pt idx="450">
                  <c:v>104.47424325564502</c:v>
                </c:pt>
                <c:pt idx="451">
                  <c:v>102.80442315573495</c:v>
                </c:pt>
                <c:pt idx="452">
                  <c:v>101.15915767889557</c:v>
                </c:pt>
                <c:pt idx="453">
                  <c:v>99.537712603808032</c:v>
                </c:pt>
                <c:pt idx="454">
                  <c:v>97.939384191977069</c:v>
                </c:pt>
                <c:pt idx="455">
                  <c:v>96.363497790667665</c:v>
                </c:pt>
                <c:pt idx="456">
                  <c:v>94.809406526285855</c:v>
                </c:pt>
                <c:pt idx="457">
                  <c:v>93.27649008264622</c:v>
                </c:pt>
                <c:pt idx="458">
                  <c:v>91.76415355905516</c:v>
                </c:pt>
                <c:pt idx="459">
                  <c:v>90.271826403588534</c:v>
                </c:pt>
                <c:pt idx="460">
                  <c:v>88.798961417358953</c:v>
                </c:pt>
                <c:pt idx="461">
                  <c:v>87.345033825955667</c:v>
                </c:pt>
                <c:pt idx="462">
                  <c:v>85.909540414601338</c:v>
                </c:pt>
                <c:pt idx="463">
                  <c:v>84.491998723909418</c:v>
                </c:pt>
                <c:pt idx="464">
                  <c:v>83.091946303444672</c:v>
                </c:pt>
                <c:pt idx="465">
                  <c:v>81.708940020591527</c:v>
                </c:pt>
                <c:pt idx="466">
                  <c:v>80.342555422522153</c:v>
                </c:pt>
                <c:pt idx="467">
                  <c:v>78.992386149331239</c:v>
                </c:pt>
                <c:pt idx="468">
                  <c:v>77.658043396668887</c:v>
                </c:pt>
                <c:pt idx="469">
                  <c:v>76.339155426460266</c:v>
                </c:pt>
                <c:pt idx="470">
                  <c:v>75.035367124551144</c:v>
                </c:pt>
                <c:pt idx="471">
                  <c:v>73.746339604365303</c:v>
                </c:pt>
                <c:pt idx="472">
                  <c:v>72.471749855904605</c:v>
                </c:pt>
                <c:pt idx="473">
                  <c:v>71.21129043966711</c:v>
                </c:pt>
                <c:pt idx="474">
                  <c:v>69.964669225305258</c:v>
                </c:pt>
                <c:pt idx="475">
                  <c:v>68.731609175095613</c:v>
                </c:pt>
                <c:pt idx="476">
                  <c:v>67.511848172548454</c:v>
                </c:pt>
                <c:pt idx="477">
                  <c:v>66.305138896747678</c:v>
                </c:pt>
                <c:pt idx="478">
                  <c:v>65.111248743284975</c:v>
                </c:pt>
                <c:pt idx="479">
                  <c:v>63.92995979293628</c:v>
                </c:pt>
                <c:pt idx="480">
                  <c:v>62.76106882952628</c:v>
                </c:pt>
                <c:pt idx="481">
                  <c:v>61.604387408739555</c:v>
                </c:pt>
                <c:pt idx="482">
                  <c:v>60.459741979967696</c:v>
                </c:pt>
                <c:pt idx="483">
                  <c:v>59.32697406363102</c:v>
                </c:pt>
                <c:pt idx="484">
                  <c:v>58.205940486783646</c:v>
                </c:pt>
                <c:pt idx="485">
                  <c:v>57.096513680203479</c:v>
                </c:pt>
                <c:pt idx="486">
                  <c:v>55.998582040584026</c:v>
                </c:pt>
                <c:pt idx="487">
                  <c:v>54.912050361884702</c:v>
                </c:pt>
                <c:pt idx="488">
                  <c:v>53.836840340359636</c:v>
                </c:pt>
                <c:pt idx="489">
                  <c:v>52.772891158270404</c:v>
                </c:pt>
                <c:pt idx="490">
                  <c:v>51.720160151794396</c:v>
                </c:pt>
                <c:pt idx="491">
                  <c:v>50.678623569161871</c:v>
                </c:pt>
                <c:pt idx="492">
                  <c:v>49.648277425585782</c:v>
                </c:pt>
                <c:pt idx="493">
                  <c:v>48.629138462078863</c:v>
                </c:pt>
                <c:pt idx="494">
                  <c:v>47.621245215768838</c:v>
                </c:pt>
                <c:pt idx="495">
                  <c:v>46.624659209805749</c:v>
                </c:pt>
                <c:pt idx="496">
                  <c:v>45.639466271380506</c:v>
                </c:pt>
                <c:pt idx="497">
                  <c:v>44.665777986706281</c:v>
                </c:pt>
                <c:pt idx="498">
                  <c:v>43.703733302010491</c:v>
                </c:pt>
                <c:pt idx="499">
                  <c:v>42.753500279586682</c:v>
                </c:pt>
                <c:pt idx="500">
                  <c:v>41.815278017689245</c:v>
                </c:pt>
                <c:pt idx="501">
                  <c:v>40.889298742424387</c:v>
                </c:pt>
                <c:pt idx="502">
                  <c:v>39.975830078680225</c:v>
                </c:pt>
                <c:pt idx="503">
                  <c:v>39.075177505398074</c:v>
                </c:pt>
                <c:pt idx="504">
                  <c:v>38.187686997933078</c:v>
                </c:pt>
                <c:pt idx="505">
                  <c:v>37.313747856661323</c:v>
                </c:pt>
                <c:pt idx="506">
                  <c:v>36.453795716092465</c:v>
                </c:pt>
                <c:pt idx="507">
                  <c:v>35.608315722222123</c:v>
                </c:pt>
                <c:pt idx="508">
                  <c:v>34.777845857334277</c:v>
                </c:pt>
                <c:pt idx="509">
                  <c:v>33.9629803805188</c:v>
                </c:pt>
                <c:pt idx="510">
                  <c:v>33.164373338338628</c:v>
                </c:pt>
                <c:pt idx="511">
                  <c:v>32.382742082878671</c:v>
                </c:pt>
                <c:pt idx="512">
                  <c:v>31.618870713358522</c:v>
                </c:pt>
                <c:pt idx="513">
                  <c:v>30.873613332182668</c:v>
                </c:pt>
                <c:pt idx="514">
                  <c:v>30.147896976472154</c:v>
                </c:pt>
                <c:pt idx="515">
                  <c:v>29.442724051770508</c:v>
                </c:pt>
                <c:pt idx="516">
                  <c:v>28.759174056165868</c:v>
                </c:pt>
                <c:pt idx="517">
                  <c:v>28.098404341565882</c:v>
                </c:pt>
                <c:pt idx="518">
                  <c:v>27.461649616212085</c:v>
                </c:pt>
                <c:pt idx="519">
                  <c:v>26.850219851768966</c:v>
                </c:pt>
                <c:pt idx="520">
                  <c:v>26.265496223901994</c:v>
                </c:pt>
                <c:pt idx="521">
                  <c:v>25.708924693173884</c:v>
                </c:pt>
                <c:pt idx="522">
                  <c:v>25.182006830945529</c:v>
                </c:pt>
                <c:pt idx="523">
                  <c:v>24.686287521707509</c:v>
                </c:pt>
                <c:pt idx="524">
                  <c:v>24.22333923848187</c:v>
                </c:pt>
                <c:pt idx="525">
                  <c:v>23.794742700618965</c:v>
                </c:pt>
                <c:pt idx="526">
                  <c:v>23.402063890013803</c:v>
                </c:pt>
                <c:pt idx="527">
                  <c:v>23.046827624164514</c:v>
                </c:pt>
                <c:pt idx="528">
                  <c:v>22.730488156767766</c:v>
                </c:pt>
                <c:pt idx="529">
                  <c:v>22.454397583035657</c:v>
                </c:pt>
                <c:pt idx="530">
                  <c:v>22.219773140961045</c:v>
                </c:pt>
                <c:pt idx="531">
                  <c:v>22.027664784570828</c:v>
                </c:pt>
                <c:pt idx="532">
                  <c:v>21.878924617566753</c:v>
                </c:pt>
                <c:pt idx="533">
                  <c:v>21.774179872592342</c:v>
                </c:pt>
                <c:pt idx="534">
                  <c:v>21.713811068465162</c:v>
                </c:pt>
                <c:pt idx="535">
                  <c:v>21.697936758676949</c:v>
                </c:pt>
                <c:pt idx="536">
                  <c:v>21.726405907410602</c:v>
                </c:pt>
                <c:pt idx="537">
                  <c:v>21.798798428883433</c:v>
                </c:pt>
                <c:pt idx="538">
                  <c:v>21.914433859031249</c:v>
                </c:pt>
                <c:pt idx="539">
                  <c:v>22.072387565033715</c:v>
                </c:pt>
                <c:pt idx="540">
                  <c:v>22.271513407025434</c:v>
                </c:pt>
                <c:pt idx="541">
                  <c:v>22.510471403029079</c:v>
                </c:pt>
                <c:pt idx="542">
                  <c:v>22.787758745166656</c:v>
                </c:pt>
                <c:pt idx="543">
                  <c:v>23.101742478389095</c:v>
                </c:pt>
                <c:pt idx="544">
                  <c:v>23.450692263948742</c:v>
                </c:pt>
                <c:pt idx="545">
                  <c:v>23.832811873064049</c:v>
                </c:pt>
                <c:pt idx="546">
                  <c:v>24.246268348015565</c:v>
                </c:pt>
                <c:pt idx="547">
                  <c:v>24.689218085109317</c:v>
                </c:pt>
                <c:pt idx="548">
                  <c:v>25.159829400322359</c:v>
                </c:pt>
                <c:pt idx="549">
                  <c:v>25.656301408166833</c:v>
                </c:pt>
                <c:pt idx="550">
                  <c:v>26.176879262610196</c:v>
                </c:pt>
                <c:pt idx="551">
                  <c:v>26.719865970754263</c:v>
                </c:pt>
                <c:pt idx="552">
                  <c:v>27.283631097731782</c:v>
                </c:pt>
                <c:pt idx="553">
                  <c:v>27.866616741915109</c:v>
                </c:pt>
                <c:pt idx="554">
                  <c:v>28.467341182308598</c:v>
                </c:pt>
                <c:pt idx="555">
                  <c:v>29.08440059462038</c:v>
                </c:pt>
                <c:pt idx="556">
                  <c:v>29.716469207928178</c:v>
                </c:pt>
                <c:pt idx="557">
                  <c:v>30.362298237611686</c:v>
                </c:pt>
                <c:pt idx="558">
                  <c:v>31.020713888230112</c:v>
                </c:pt>
                <c:pt idx="559">
                  <c:v>31.690614676599679</c:v>
                </c:pt>
                <c:pt idx="560">
                  <c:v>32.370968283408423</c:v>
                </c:pt>
                <c:pt idx="561">
                  <c:v>33.060808103109181</c:v>
                </c:pt>
                <c:pt idx="562">
                  <c:v>33.759229627521322</c:v>
                </c:pt>
                <c:pt idx="563">
                  <c:v>34.465386768905432</c:v>
                </c:pt>
                <c:pt idx="564">
                  <c:v>35.178488203203472</c:v>
                </c:pt>
                <c:pt idx="565">
                  <c:v>35.897793793361295</c:v>
                </c:pt>
                <c:pt idx="566">
                  <c:v>36.622611135733734</c:v>
                </c:pt>
                <c:pt idx="567">
                  <c:v>37.352292259022711</c:v>
                </c:pt>
                <c:pt idx="568">
                  <c:v>38.086230494518006</c:v>
                </c:pt>
                <c:pt idx="569">
                  <c:v>38.823857528127874</c:v>
                </c:pt>
                <c:pt idx="570">
                  <c:v>39.564640638378179</c:v>
                </c:pt>
                <c:pt idx="571">
                  <c:v>40.308080119849741</c:v>
                </c:pt>
                <c:pt idx="572">
                  <c:v>41.053706888096606</c:v>
                </c:pt>
                <c:pt idx="573">
                  <c:v>41.801080259672638</c:v>
                </c:pt>
                <c:pt idx="574">
                  <c:v>42.549785899270162</c:v>
                </c:pt>
                <c:pt idx="575">
                  <c:v>43.299433924959878</c:v>
                </c:pt>
                <c:pt idx="576">
                  <c:v>44.04965716197016</c:v>
                </c:pt>
                <c:pt idx="577">
                  <c:v>44.800109535239706</c:v>
                </c:pt>
                <c:pt idx="578">
                  <c:v>45.55046459102703</c:v>
                </c:pt>
                <c:pt idx="579">
                  <c:v>46.300414138092357</c:v>
                </c:pt>
                <c:pt idx="580">
                  <c:v>47.049666999324927</c:v>
                </c:pt>
                <c:pt idx="581">
                  <c:v>47.797947865128975</c:v>
                </c:pt>
                <c:pt idx="582">
                  <c:v>48.544996240372122</c:v>
                </c:pt>
                <c:pt idx="583">
                  <c:v>49.290565477215715</c:v>
                </c:pt>
                <c:pt idx="584">
                  <c:v>50.034421886669868</c:v>
                </c:pt>
                <c:pt idx="585">
                  <c:v>50.776343922233892</c:v>
                </c:pt>
                <c:pt idx="586">
                  <c:v>51.516121429485516</c:v>
                </c:pt>
                <c:pt idx="587">
                  <c:v>52.253554955964532</c:v>
                </c:pt>
                <c:pt idx="588">
                  <c:v>52.988455116153141</c:v>
                </c:pt>
                <c:pt idx="589">
                  <c:v>53.720642006785262</c:v>
                </c:pt>
                <c:pt idx="590">
                  <c:v>54.449944668118441</c:v>
                </c:pt>
                <c:pt idx="591">
                  <c:v>55.17620058717479</c:v>
                </c:pt>
                <c:pt idx="592">
                  <c:v>55.899255239302619</c:v>
                </c:pt>
                <c:pt idx="593">
                  <c:v>56.618961664728566</c:v>
                </c:pt>
                <c:pt idx="594">
                  <c:v>57.33518007706224</c:v>
                </c:pt>
                <c:pt idx="595">
                  <c:v>58.047777500983777</c:v>
                </c:pt>
                <c:pt idx="596">
                  <c:v>58.756627436589923</c:v>
                </c:pt>
                <c:pt idx="597">
                  <c:v>59.461609548098821</c:v>
                </c:pt>
                <c:pt idx="598">
                  <c:v>60.162609374818111</c:v>
                </c:pt>
                <c:pt idx="599">
                  <c:v>60.859518062467849</c:v>
                </c:pt>
                <c:pt idx="600">
                  <c:v>61.552232113119537</c:v>
                </c:pt>
                <c:pt idx="601">
                  <c:v>62.240653152167695</c:v>
                </c:pt>
                <c:pt idx="602">
                  <c:v>62.924687710891007</c:v>
                </c:pt>
                <c:pt idx="603">
                  <c:v>63.604247023288451</c:v>
                </c:pt>
                <c:pt idx="604">
                  <c:v>64.279246835992311</c:v>
                </c:pt>
                <c:pt idx="605">
                  <c:v>64.949607230166151</c:v>
                </c:pt>
                <c:pt idx="606">
                  <c:v>65.61525245439212</c:v>
                </c:pt>
                <c:pt idx="607">
                  <c:v>66.276110767639778</c:v>
                </c:pt>
                <c:pt idx="608">
                  <c:v>66.932114291488432</c:v>
                </c:pt>
                <c:pt idx="609">
                  <c:v>67.583198870847468</c:v>
                </c:pt>
                <c:pt idx="610">
                  <c:v>68.229303942485473</c:v>
                </c:pt>
                <c:pt idx="611">
                  <c:v>68.870372410738696</c:v>
                </c:pt>
                <c:pt idx="612">
                  <c:v>69.506350529824445</c:v>
                </c:pt>
                <c:pt idx="613">
                  <c:v>70.137187792234997</c:v>
                </c:pt>
                <c:pt idx="614">
                  <c:v>70.76283682273224</c:v>
                </c:pt>
                <c:pt idx="615">
                  <c:v>71.383253277506014</c:v>
                </c:pt>
                <c:pt idx="616">
                  <c:v>71.998395748095476</c:v>
                </c:pt>
                <c:pt idx="617">
                  <c:v>72.608225669708077</c:v>
                </c:pt>
                <c:pt idx="618">
                  <c:v>73.212707233601932</c:v>
                </c:pt>
                <c:pt idx="619">
                  <c:v>73.811807303225919</c:v>
                </c:pt>
                <c:pt idx="620">
                  <c:v>74.405495333838147</c:v>
                </c:pt>
                <c:pt idx="621">
                  <c:v>74.99374329534723</c:v>
                </c:pt>
                <c:pt idx="622">
                  <c:v>75.576525598142666</c:v>
                </c:pt>
                <c:pt idx="623">
                  <c:v>76.153819021700556</c:v>
                </c:pt>
                <c:pt idx="624">
                  <c:v>76.725602645769186</c:v>
                </c:pt>
                <c:pt idx="625">
                  <c:v>77.291857783955578</c:v>
                </c:pt>
                <c:pt idx="626">
                  <c:v>77.852567919549429</c:v>
                </c:pt>
                <c:pt idx="627">
                  <c:v>78.407718643434805</c:v>
                </c:pt>
                <c:pt idx="628">
                  <c:v>78.957297593952632</c:v>
                </c:pt>
                <c:pt idx="629">
                  <c:v>79.501294398588897</c:v>
                </c:pt>
                <c:pt idx="630">
                  <c:v>80.039700617373896</c:v>
                </c:pt>
                <c:pt idx="631">
                  <c:v>80.572509687888029</c:v>
                </c:pt>
                <c:pt idx="632">
                  <c:v>81.099716871778014</c:v>
                </c:pt>
                <c:pt idx="633">
                  <c:v>81.621319202696412</c:v>
                </c:pt>
                <c:pt idx="634">
                  <c:v>82.137315435583957</c:v>
                </c:pt>
                <c:pt idx="635">
                  <c:v>82.647705997221962</c:v>
                </c:pt>
                <c:pt idx="636">
                  <c:v>83.152492937987518</c:v>
                </c:pt>
                <c:pt idx="637">
                  <c:v>83.651679884750507</c:v>
                </c:pt>
                <c:pt idx="638">
                  <c:v>84.145271994856927</c:v>
                </c:pt>
                <c:pt idx="639">
                  <c:v>84.633275911146882</c:v>
                </c:pt>
                <c:pt idx="640">
                  <c:v>85.115699717960993</c:v>
                </c:pt>
                <c:pt idx="641">
                  <c:v>85.592552898092876</c:v>
                </c:pt>
                <c:pt idx="642">
                  <c:v>86.0638462906483</c:v>
                </c:pt>
                <c:pt idx="643">
                  <c:v>86.529592049775829</c:v>
                </c:pt>
                <c:pt idx="644">
                  <c:v>86.989803604236528</c:v>
                </c:pt>
                <c:pt idx="645">
                  <c:v>87.444495617783033</c:v>
                </c:pt>
                <c:pt idx="646">
                  <c:v>87.893683950320806</c:v>
                </c:pt>
                <c:pt idx="647">
                  <c:v>88.337385619827231</c:v>
                </c:pt>
                <c:pt idx="648">
                  <c:v>88.775618765005447</c:v>
                </c:pt>
                <c:pt idx="649">
                  <c:v>89.20840260865269</c:v>
                </c:pt>
                <c:pt idx="650">
                  <c:v>89.635757421724051</c:v>
                </c:pt>
                <c:pt idx="651">
                  <c:v>90.057704488074265</c:v>
                </c:pt>
                <c:pt idx="652">
                  <c:v>90.474266069861869</c:v>
                </c:pt>
                <c:pt idx="653">
                  <c:v>90.885465373601107</c:v>
                </c:pt>
                <c:pt idx="654">
                  <c:v>91.291326516848031</c:v>
                </c:pt>
                <c:pt idx="655">
                  <c:v>91.691874495508856</c:v>
                </c:pt>
                <c:pt idx="656">
                  <c:v>92.087135151758972</c:v>
                </c:pt>
                <c:pt idx="657">
                  <c:v>92.47713514256219</c:v>
                </c:pt>
                <c:pt idx="658">
                  <c:v>92.861901908780609</c:v>
                </c:pt>
                <c:pt idx="659">
                  <c:v>93.241463644866087</c:v>
                </c:pt>
                <c:pt idx="660">
                  <c:v>93.615849269124922</c:v>
                </c:pt>
                <c:pt idx="661">
                  <c:v>93.985088394547859</c:v>
                </c:pt>
                <c:pt idx="662">
                  <c:v>94.349211300198263</c:v>
                </c:pt>
                <c:pt idx="663">
                  <c:v>94.708248903151443</c:v>
                </c:pt>
                <c:pt idx="664">
                  <c:v>95.062232730978423</c:v>
                </c:pt>
                <c:pt idx="665">
                  <c:v>95.411194894768428</c:v>
                </c:pt>
                <c:pt idx="666">
                  <c:v>95.755168062683751</c:v>
                </c:pt>
                <c:pt idx="667">
                  <c:v>96.09418543404152</c:v>
                </c:pt>
                <c:pt idx="668">
                  <c:v>96.428280713916848</c:v>
                </c:pt>
                <c:pt idx="669">
                  <c:v>96.757488088262321</c:v>
                </c:pt>
                <c:pt idx="670">
                  <c:v>97.081842199538343</c:v>
                </c:pt>
                <c:pt idx="671">
                  <c:v>97.401378122849636</c:v>
                </c:pt>
                <c:pt idx="672">
                  <c:v>97.716131342582955</c:v>
                </c:pt>
                <c:pt idx="673">
                  <c:v>98.026137729541063</c:v>
                </c:pt>
                <c:pt idx="674">
                  <c:v>98.331433518568403</c:v>
                </c:pt>
                <c:pt idx="675">
                  <c:v>98.632055286663515</c:v>
                </c:pt>
                <c:pt idx="676">
                  <c:v>98.928039931573906</c:v>
                </c:pt>
                <c:pt idx="677">
                  <c:v>99.21942465086822</c:v>
                </c:pt>
                <c:pt idx="678">
                  <c:v>99.506246921481406</c:v>
                </c:pt>
                <c:pt idx="679">
                  <c:v>99.78854447972806</c:v>
                </c:pt>
                <c:pt idx="680">
                  <c:v>100.06635530177923</c:v>
                </c:pt>
                <c:pt idx="681">
                  <c:v>100.33971758459805</c:v>
                </c:pt>
                <c:pt idx="682">
                  <c:v>100.60866972732946</c:v>
                </c:pt>
                <c:pt idx="683">
                  <c:v>100.87325031313898</c:v>
                </c:pt>
                <c:pt idx="684">
                  <c:v>101.13349809149619</c:v>
                </c:pt>
                <c:pt idx="685">
                  <c:v>101.38945196089755</c:v>
                </c:pt>
                <c:pt idx="686">
                  <c:v>101.64115095202395</c:v>
                </c:pt>
                <c:pt idx="687">
                  <c:v>101.88863421132798</c:v>
                </c:pt>
                <c:pt idx="688">
                  <c:v>102.13194098504592</c:v>
                </c:pt>
                <c:pt idx="689">
                  <c:v>102.37111060362899</c:v>
                </c:pt>
                <c:pt idx="690">
                  <c:v>102.60618246658967</c:v>
                </c:pt>
                <c:pt idx="691">
                  <c:v>102.8371960277569</c:v>
                </c:pt>
                <c:pt idx="692">
                  <c:v>103.06419078093562</c:v>
                </c:pt>
                <c:pt idx="693">
                  <c:v>103.28720624596505</c:v>
                </c:pt>
                <c:pt idx="694">
                  <c:v>103.50628195517071</c:v>
                </c:pt>
                <c:pt idx="695">
                  <c:v>103.7214574402045</c:v>
                </c:pt>
                <c:pt idx="696">
                  <c:v>103.93277221926768</c:v>
                </c:pt>
                <c:pt idx="697">
                  <c:v>104.14026578471126</c:v>
                </c:pt>
                <c:pt idx="698">
                  <c:v>104.34397759100823</c:v>
                </c:pt>
                <c:pt idx="699">
                  <c:v>104.54394704309243</c:v>
                </c:pt>
                <c:pt idx="700">
                  <c:v>104.74021348505808</c:v>
                </c:pt>
                <c:pt idx="701">
                  <c:v>104.93281618921488</c:v>
                </c:pt>
                <c:pt idx="702">
                  <c:v>105.12179434549267</c:v>
                </c:pt>
                <c:pt idx="703">
                  <c:v>105.30718705119052</c:v>
                </c:pt>
                <c:pt idx="704">
                  <c:v>105.48903330106411</c:v>
                </c:pt>
                <c:pt idx="705">
                  <c:v>105.66737197774613</c:v>
                </c:pt>
                <c:pt idx="706">
                  <c:v>105.84224184249406</c:v>
                </c:pt>
                <c:pt idx="707">
                  <c:v>106.01368152625939</c:v>
                </c:pt>
                <c:pt idx="708">
                  <c:v>106.18172952107287</c:v>
                </c:pt>
                <c:pt idx="709">
                  <c:v>106.34642417174014</c:v>
                </c:pt>
                <c:pt idx="710">
                  <c:v>106.50780366784186</c:v>
                </c:pt>
                <c:pt idx="711">
                  <c:v>106.66590603603302</c:v>
                </c:pt>
                <c:pt idx="712">
                  <c:v>106.82076913263553</c:v>
                </c:pt>
                <c:pt idx="713">
                  <c:v>106.97243063651851</c:v>
                </c:pt>
                <c:pt idx="714">
                  <c:v>107.1209280422608</c:v>
                </c:pt>
                <c:pt idx="715">
                  <c:v>107.26629865358993</c:v>
                </c:pt>
                <c:pt idx="716">
                  <c:v>107.40857957709221</c:v>
                </c:pt>
                <c:pt idx="717">
                  <c:v>107.54780771618807</c:v>
                </c:pt>
                <c:pt idx="718">
                  <c:v>107.68401976536747</c:v>
                </c:pt>
                <c:pt idx="719">
                  <c:v>107.81725220467966</c:v>
                </c:pt>
                <c:pt idx="720">
                  <c:v>107.947541294472</c:v>
                </c:pt>
                <c:pt idx="721">
                  <c:v>108.07492307037225</c:v>
                </c:pt>
                <c:pt idx="722">
                  <c:v>108.19943333850918</c:v>
                </c:pt>
                <c:pt idx="723">
                  <c:v>108.32110767096589</c:v>
                </c:pt>
                <c:pt idx="724">
                  <c:v>108.43998140146087</c:v>
                </c:pt>
                <c:pt idx="725">
                  <c:v>108.55608962125129</c:v>
                </c:pt>
                <c:pt idx="726">
                  <c:v>108.66946717525332</c:v>
                </c:pt>
                <c:pt idx="727">
                  <c:v>108.78014865837467</c:v>
                </c:pt>
                <c:pt idx="728">
                  <c:v>108.88816841205372</c:v>
                </c:pt>
                <c:pt idx="729">
                  <c:v>108.9935605210007</c:v>
                </c:pt>
                <c:pt idx="730">
                  <c:v>109.09635881013561</c:v>
                </c:pt>
                <c:pt idx="731">
                  <c:v>109.19659684171803</c:v>
                </c:pt>
                <c:pt idx="732">
                  <c:v>109.29430791266398</c:v>
                </c:pt>
                <c:pt idx="733">
                  <c:v>109.38952505204497</c:v>
                </c:pt>
                <c:pt idx="734">
                  <c:v>109.4822810187646</c:v>
                </c:pt>
                <c:pt idx="735">
                  <c:v>109.57260829940769</c:v>
                </c:pt>
                <c:pt idx="736">
                  <c:v>109.66053910625781</c:v>
                </c:pt>
                <c:pt idx="737">
                  <c:v>109.74610537547811</c:v>
                </c:pt>
                <c:pt idx="738">
                  <c:v>109.82933876545135</c:v>
                </c:pt>
                <c:pt idx="739">
                  <c:v>109.91027065527447</c:v>
                </c:pt>
                <c:pt idx="740">
                  <c:v>109.9889321434034</c:v>
                </c:pt>
                <c:pt idx="741">
                  <c:v>110.06535404644386</c:v>
                </c:pt>
                <c:pt idx="742">
                  <c:v>110.13956689808364</c:v>
                </c:pt>
                <c:pt idx="743">
                  <c:v>110.21160094816268</c:v>
                </c:pt>
                <c:pt idx="744">
                  <c:v>110.2814861618763</c:v>
                </c:pt>
                <c:pt idx="745">
                  <c:v>110.34925221910795</c:v>
                </c:pt>
                <c:pt idx="746">
                  <c:v>110.41492851388729</c:v>
                </c:pt>
                <c:pt idx="747">
                  <c:v>110.47854415396985</c:v>
                </c:pt>
                <c:pt idx="748">
                  <c:v>110.54012796053419</c:v>
                </c:pt>
                <c:pt idx="749">
                  <c:v>110.59970846799325</c:v>
                </c:pt>
                <c:pt idx="750">
                  <c:v>110.65731392391572</c:v>
                </c:pt>
                <c:pt idx="751">
                  <c:v>110.71297228905399</c:v>
                </c:pt>
                <c:pt idx="752">
                  <c:v>110.76671123747533</c:v>
                </c:pt>
                <c:pt idx="753">
                  <c:v>110.81855815679246</c:v>
                </c:pt>
                <c:pt idx="754">
                  <c:v>110.8685401484904</c:v>
                </c:pt>
                <c:pt idx="755">
                  <c:v>110.91668402834601</c:v>
                </c:pt>
                <c:pt idx="756">
                  <c:v>110.96301632693712</c:v>
                </c:pt>
                <c:pt idx="757">
                  <c:v>111.00756329023807</c:v>
                </c:pt>
                <c:pt idx="758">
                  <c:v>111.05035088029811</c:v>
                </c:pt>
                <c:pt idx="759">
                  <c:v>111.0914047760003</c:v>
                </c:pt>
                <c:pt idx="760">
                  <c:v>111.13075037389716</c:v>
                </c:pt>
                <c:pt idx="761">
                  <c:v>111.16841278912064</c:v>
                </c:pt>
                <c:pt idx="762">
                  <c:v>111.20441685636328</c:v>
                </c:pt>
                <c:pt idx="763">
                  <c:v>111.23878713092785</c:v>
                </c:pt>
                <c:pt idx="764">
                  <c:v>111.27154788984265</c:v>
                </c:pt>
                <c:pt idx="765">
                  <c:v>111.30272313303982</c:v>
                </c:pt>
                <c:pt idx="766">
                  <c:v>111.33233658459402</c:v>
                </c:pt>
                <c:pt idx="767">
                  <c:v>111.36041169401898</c:v>
                </c:pt>
                <c:pt idx="768">
                  <c:v>111.3869716376193</c:v>
                </c:pt>
                <c:pt idx="769">
                  <c:v>111.4120393198952</c:v>
                </c:pt>
                <c:pt idx="770">
                  <c:v>111.43563737499775</c:v>
                </c:pt>
                <c:pt idx="771">
                  <c:v>111.45778816823217</c:v>
                </c:pt>
                <c:pt idx="772">
                  <c:v>111.47851379760719</c:v>
                </c:pt>
                <c:pt idx="773">
                  <c:v>111.49783609542811</c:v>
                </c:pt>
                <c:pt idx="774">
                  <c:v>111.5157766299313</c:v>
                </c:pt>
                <c:pt idx="775">
                  <c:v>111.53235670695827</c:v>
                </c:pt>
                <c:pt idx="776">
                  <c:v>111.54759737166718</c:v>
                </c:pt>
                <c:pt idx="777">
                  <c:v>111.56151941027976</c:v>
                </c:pt>
                <c:pt idx="778">
                  <c:v>111.57414335186176</c:v>
                </c:pt>
                <c:pt idx="779">
                  <c:v>111.58548947013507</c:v>
                </c:pt>
                <c:pt idx="780">
                  <c:v>111.59557778531958</c:v>
                </c:pt>
                <c:pt idx="781">
                  <c:v>111.60442806600329</c:v>
                </c:pt>
                <c:pt idx="782">
                  <c:v>111.61205983103845</c:v>
                </c:pt>
                <c:pt idx="783">
                  <c:v>111.61849235146265</c:v>
                </c:pt>
                <c:pt idx="784">
                  <c:v>111.6237446524427</c:v>
                </c:pt>
                <c:pt idx="785">
                  <c:v>111.62783551524004</c:v>
                </c:pt>
                <c:pt idx="786">
                  <c:v>111.63078347919618</c:v>
                </c:pt>
                <c:pt idx="787">
                  <c:v>111.63260684373638</c:v>
                </c:pt>
                <c:pt idx="788">
                  <c:v>111.63332367039038</c:v>
                </c:pt>
                <c:pt idx="789">
                  <c:v>111.6329517848288</c:v>
                </c:pt>
                <c:pt idx="790">
                  <c:v>111.63150877891368</c:v>
                </c:pt>
                <c:pt idx="791">
                  <c:v>111.62901201276193</c:v>
                </c:pt>
                <c:pt idx="792">
                  <c:v>111.62547861682053</c:v>
                </c:pt>
                <c:pt idx="793">
                  <c:v>111.62092549395206</c:v>
                </c:pt>
                <c:pt idx="794">
                  <c:v>111.6153693215295</c:v>
                </c:pt>
                <c:pt idx="795">
                  <c:v>111.6088265535391</c:v>
                </c:pt>
                <c:pt idx="796">
                  <c:v>111.6013134226902</c:v>
                </c:pt>
                <c:pt idx="797">
                  <c:v>111.59284594253091</c:v>
                </c:pt>
                <c:pt idx="798">
                  <c:v>111.58343990956877</c:v>
                </c:pt>
                <c:pt idx="799">
                  <c:v>111.57311090539507</c:v>
                </c:pt>
                <c:pt idx="800">
                  <c:v>111.57309966193738</c:v>
                </c:pt>
                <c:pt idx="801">
                  <c:v>111.57308841758791</c:v>
                </c:pt>
                <c:pt idx="802">
                  <c:v>111.57307717234664</c:v>
                </c:pt>
                <c:pt idx="803">
                  <c:v>111.57306592621362</c:v>
                </c:pt>
                <c:pt idx="804">
                  <c:v>111.57305467918886</c:v>
                </c:pt>
                <c:pt idx="805">
                  <c:v>111.57304343127237</c:v>
                </c:pt>
                <c:pt idx="806">
                  <c:v>111.57303218246415</c:v>
                </c:pt>
                <c:pt idx="807">
                  <c:v>111.57302093276424</c:v>
                </c:pt>
                <c:pt idx="808">
                  <c:v>111.57300968217264</c:v>
                </c:pt>
                <c:pt idx="809">
                  <c:v>111.57299843068938</c:v>
                </c:pt>
                <c:pt idx="810">
                  <c:v>111.57298717831446</c:v>
                </c:pt>
                <c:pt idx="811">
                  <c:v>111.57297592504791</c:v>
                </c:pt>
                <c:pt idx="812">
                  <c:v>111.57296467088973</c:v>
                </c:pt>
                <c:pt idx="813">
                  <c:v>111.57295341583993</c:v>
                </c:pt>
                <c:pt idx="814">
                  <c:v>111.57294215989855</c:v>
                </c:pt>
                <c:pt idx="815">
                  <c:v>111.57293090306558</c:v>
                </c:pt>
                <c:pt idx="816">
                  <c:v>111.57291964534105</c:v>
                </c:pt>
                <c:pt idx="817">
                  <c:v>111.57290838672495</c:v>
                </c:pt>
                <c:pt idx="818">
                  <c:v>111.57289712721735</c:v>
                </c:pt>
                <c:pt idx="819">
                  <c:v>111.5728858668182</c:v>
                </c:pt>
                <c:pt idx="820">
                  <c:v>111.57287460552755</c:v>
                </c:pt>
                <c:pt idx="821">
                  <c:v>111.5728633433454</c:v>
                </c:pt>
                <c:pt idx="822">
                  <c:v>111.5728520802718</c:v>
                </c:pt>
                <c:pt idx="823">
                  <c:v>111.57284081630672</c:v>
                </c:pt>
                <c:pt idx="824">
                  <c:v>111.57282955145021</c:v>
                </c:pt>
                <c:pt idx="825">
                  <c:v>111.57281828570225</c:v>
                </c:pt>
                <c:pt idx="826">
                  <c:v>111.57280701906289</c:v>
                </c:pt>
                <c:pt idx="827">
                  <c:v>111.57279575153211</c:v>
                </c:pt>
                <c:pt idx="828">
                  <c:v>111.57278448310996</c:v>
                </c:pt>
                <c:pt idx="829">
                  <c:v>111.57277321379642</c:v>
                </c:pt>
                <c:pt idx="830">
                  <c:v>111.57276194359154</c:v>
                </c:pt>
                <c:pt idx="831">
                  <c:v>111.5727506724953</c:v>
                </c:pt>
                <c:pt idx="832">
                  <c:v>111.57273940050774</c:v>
                </c:pt>
                <c:pt idx="833">
                  <c:v>111.57272812762888</c:v>
                </c:pt>
                <c:pt idx="834">
                  <c:v>111.57271685385871</c:v>
                </c:pt>
                <c:pt idx="835">
                  <c:v>111.57270557919726</c:v>
                </c:pt>
                <c:pt idx="836">
                  <c:v>111.57269430364455</c:v>
                </c:pt>
                <c:pt idx="837">
                  <c:v>111.57268302720058</c:v>
                </c:pt>
                <c:pt idx="838">
                  <c:v>111.57267174986536</c:v>
                </c:pt>
                <c:pt idx="839">
                  <c:v>111.57266047163893</c:v>
                </c:pt>
                <c:pt idx="840">
                  <c:v>111.5726491925213</c:v>
                </c:pt>
                <c:pt idx="841">
                  <c:v>111.57263791251246</c:v>
                </c:pt>
                <c:pt idx="842">
                  <c:v>111.57262663161245</c:v>
                </c:pt>
                <c:pt idx="843">
                  <c:v>111.57261534982128</c:v>
                </c:pt>
                <c:pt idx="844">
                  <c:v>111.57260406713897</c:v>
                </c:pt>
                <c:pt idx="845">
                  <c:v>111.57259278356551</c:v>
                </c:pt>
                <c:pt idx="846">
                  <c:v>111.57258149910093</c:v>
                </c:pt>
                <c:pt idx="847">
                  <c:v>111.57257021374527</c:v>
                </c:pt>
                <c:pt idx="848">
                  <c:v>111.57255892749851</c:v>
                </c:pt>
                <c:pt idx="849">
                  <c:v>111.57254764036067</c:v>
                </c:pt>
                <c:pt idx="850">
                  <c:v>111.57253635233177</c:v>
                </c:pt>
                <c:pt idx="851">
                  <c:v>111.57252506341183</c:v>
                </c:pt>
                <c:pt idx="852">
                  <c:v>111.57251377360085</c:v>
                </c:pt>
                <c:pt idx="853">
                  <c:v>111.57250248289886</c:v>
                </c:pt>
                <c:pt idx="854">
                  <c:v>111.57249119130587</c:v>
                </c:pt>
                <c:pt idx="855">
                  <c:v>111.57247989882191</c:v>
                </c:pt>
                <c:pt idx="856">
                  <c:v>111.57246860544696</c:v>
                </c:pt>
                <c:pt idx="857">
                  <c:v>111.57245731118107</c:v>
                </c:pt>
                <c:pt idx="858">
                  <c:v>111.57244601602422</c:v>
                </c:pt>
                <c:pt idx="859">
                  <c:v>111.57243471997646</c:v>
                </c:pt>
                <c:pt idx="860">
                  <c:v>111.57242342303779</c:v>
                </c:pt>
                <c:pt idx="861">
                  <c:v>111.57241212520823</c:v>
                </c:pt>
                <c:pt idx="862">
                  <c:v>111.57240082648778</c:v>
                </c:pt>
                <c:pt idx="863">
                  <c:v>111.57238952687648</c:v>
                </c:pt>
                <c:pt idx="864">
                  <c:v>111.57237822637431</c:v>
                </c:pt>
                <c:pt idx="865">
                  <c:v>111.57236692498131</c:v>
                </c:pt>
                <c:pt idx="866">
                  <c:v>111.57235562269747</c:v>
                </c:pt>
                <c:pt idx="867">
                  <c:v>111.57234431952286</c:v>
                </c:pt>
                <c:pt idx="868">
                  <c:v>111.57233301545743</c:v>
                </c:pt>
                <c:pt idx="869">
                  <c:v>111.57232171050123</c:v>
                </c:pt>
                <c:pt idx="870">
                  <c:v>111.57231040465429</c:v>
                </c:pt>
                <c:pt idx="871">
                  <c:v>111.57229909791657</c:v>
                </c:pt>
                <c:pt idx="872">
                  <c:v>111.57228779028814</c:v>
                </c:pt>
                <c:pt idx="873">
                  <c:v>111.57227648176899</c:v>
                </c:pt>
                <c:pt idx="874">
                  <c:v>111.57226517235914</c:v>
                </c:pt>
                <c:pt idx="875">
                  <c:v>111.5722538620586</c:v>
                </c:pt>
                <c:pt idx="876">
                  <c:v>111.57224255086739</c:v>
                </c:pt>
                <c:pt idx="877">
                  <c:v>111.57223123878551</c:v>
                </c:pt>
                <c:pt idx="878">
                  <c:v>111.57221992581299</c:v>
                </c:pt>
                <c:pt idx="879">
                  <c:v>111.57220861194986</c:v>
                </c:pt>
                <c:pt idx="880">
                  <c:v>111.5721972971961</c:v>
                </c:pt>
                <c:pt idx="881">
                  <c:v>111.57218598155175</c:v>
                </c:pt>
                <c:pt idx="882">
                  <c:v>111.57217466501682</c:v>
                </c:pt>
                <c:pt idx="883">
                  <c:v>111.57216334759131</c:v>
                </c:pt>
                <c:pt idx="884">
                  <c:v>111.57215202927526</c:v>
                </c:pt>
                <c:pt idx="885">
                  <c:v>111.57214071006867</c:v>
                </c:pt>
                <c:pt idx="886">
                  <c:v>111.57212938997155</c:v>
                </c:pt>
                <c:pt idx="887">
                  <c:v>111.57211806898391</c:v>
                </c:pt>
                <c:pt idx="888">
                  <c:v>111.57210674710579</c:v>
                </c:pt>
                <c:pt idx="889">
                  <c:v>111.57209542433719</c:v>
                </c:pt>
                <c:pt idx="890">
                  <c:v>111.57208410067815</c:v>
                </c:pt>
                <c:pt idx="891">
                  <c:v>111.57207277612864</c:v>
                </c:pt>
                <c:pt idx="892">
                  <c:v>111.57206145068869</c:v>
                </c:pt>
                <c:pt idx="893">
                  <c:v>111.57205012435833</c:v>
                </c:pt>
                <c:pt idx="894">
                  <c:v>111.57203879713755</c:v>
                </c:pt>
                <c:pt idx="895">
                  <c:v>111.57202746902639</c:v>
                </c:pt>
                <c:pt idx="896">
                  <c:v>111.57201614002486</c:v>
                </c:pt>
                <c:pt idx="897">
                  <c:v>111.57200481013298</c:v>
                </c:pt>
                <c:pt idx="898">
                  <c:v>111.57199347935074</c:v>
                </c:pt>
                <c:pt idx="899">
                  <c:v>111.57198214767816</c:v>
                </c:pt>
                <c:pt idx="900">
                  <c:v>111.57197081511528</c:v>
                </c:pt>
                <c:pt idx="901">
                  <c:v>111.57195948166209</c:v>
                </c:pt>
                <c:pt idx="902">
                  <c:v>111.57194814731864</c:v>
                </c:pt>
                <c:pt idx="903">
                  <c:v>111.5719368120849</c:v>
                </c:pt>
                <c:pt idx="904">
                  <c:v>111.57192547596091</c:v>
                </c:pt>
                <c:pt idx="905">
                  <c:v>111.57191413894667</c:v>
                </c:pt>
                <c:pt idx="906">
                  <c:v>111.57190280104221</c:v>
                </c:pt>
                <c:pt idx="907">
                  <c:v>111.57189146224754</c:v>
                </c:pt>
                <c:pt idx="908">
                  <c:v>111.57188012256267</c:v>
                </c:pt>
                <c:pt idx="909">
                  <c:v>111.57186878198763</c:v>
                </c:pt>
                <c:pt idx="910">
                  <c:v>111.57185744052242</c:v>
                </c:pt>
                <c:pt idx="911">
                  <c:v>111.57184609816704</c:v>
                </c:pt>
                <c:pt idx="912">
                  <c:v>111.57183475492155</c:v>
                </c:pt>
                <c:pt idx="913">
                  <c:v>111.57182341078592</c:v>
                </c:pt>
                <c:pt idx="914">
                  <c:v>111.5718120657602</c:v>
                </c:pt>
                <c:pt idx="915">
                  <c:v>111.57180071984436</c:v>
                </c:pt>
                <c:pt idx="916">
                  <c:v>111.57178937303847</c:v>
                </c:pt>
                <c:pt idx="917">
                  <c:v>111.57177802534251</c:v>
                </c:pt>
                <c:pt idx="918">
                  <c:v>111.57176667675651</c:v>
                </c:pt>
                <c:pt idx="919">
                  <c:v>111.57175532728047</c:v>
                </c:pt>
                <c:pt idx="920">
                  <c:v>111.57174397691441</c:v>
                </c:pt>
                <c:pt idx="921">
                  <c:v>111.57173262565834</c:v>
                </c:pt>
                <c:pt idx="922">
                  <c:v>111.5717212735123</c:v>
                </c:pt>
                <c:pt idx="923">
                  <c:v>111.57170992047628</c:v>
                </c:pt>
                <c:pt idx="924">
                  <c:v>111.57169856655031</c:v>
                </c:pt>
                <c:pt idx="925">
                  <c:v>111.57168721173439</c:v>
                </c:pt>
                <c:pt idx="926">
                  <c:v>111.57167585602852</c:v>
                </c:pt>
                <c:pt idx="927">
                  <c:v>111.57166449943276</c:v>
                </c:pt>
                <c:pt idx="928">
                  <c:v>111.5716531419471</c:v>
                </c:pt>
                <c:pt idx="929">
                  <c:v>111.57164178357156</c:v>
                </c:pt>
                <c:pt idx="930">
                  <c:v>111.57163042430615</c:v>
                </c:pt>
                <c:pt idx="931">
                  <c:v>111.57161906415088</c:v>
                </c:pt>
                <c:pt idx="932">
                  <c:v>111.57160770310577</c:v>
                </c:pt>
                <c:pt idx="933">
                  <c:v>111.57159634117085</c:v>
                </c:pt>
                <c:pt idx="934">
                  <c:v>111.5715849783461</c:v>
                </c:pt>
                <c:pt idx="935">
                  <c:v>111.57157361463157</c:v>
                </c:pt>
                <c:pt idx="936">
                  <c:v>111.57156225002726</c:v>
                </c:pt>
                <c:pt idx="937">
                  <c:v>111.57155088453318</c:v>
                </c:pt>
                <c:pt idx="938">
                  <c:v>111.57153951814936</c:v>
                </c:pt>
                <c:pt idx="939">
                  <c:v>111.57152815087581</c:v>
                </c:pt>
                <c:pt idx="940">
                  <c:v>111.57151678271252</c:v>
                </c:pt>
                <c:pt idx="941">
                  <c:v>111.57150541365954</c:v>
                </c:pt>
                <c:pt idx="942">
                  <c:v>111.57149404371685</c:v>
                </c:pt>
                <c:pt idx="943">
                  <c:v>111.5714826728845</c:v>
                </c:pt>
                <c:pt idx="944">
                  <c:v>111.57147130116249</c:v>
                </c:pt>
                <c:pt idx="945">
                  <c:v>111.57145992855082</c:v>
                </c:pt>
                <c:pt idx="946">
                  <c:v>111.57144855504953</c:v>
                </c:pt>
                <c:pt idx="947">
                  <c:v>111.57143718065863</c:v>
                </c:pt>
                <c:pt idx="948">
                  <c:v>111.57142580537811</c:v>
                </c:pt>
                <c:pt idx="949">
                  <c:v>111.57141442920802</c:v>
                </c:pt>
                <c:pt idx="950">
                  <c:v>111.57140305214836</c:v>
                </c:pt>
                <c:pt idx="951">
                  <c:v>111.57139167419913</c:v>
                </c:pt>
                <c:pt idx="952">
                  <c:v>111.57138029536037</c:v>
                </c:pt>
                <c:pt idx="953">
                  <c:v>111.57136891563206</c:v>
                </c:pt>
                <c:pt idx="954">
                  <c:v>111.57135753501426</c:v>
                </c:pt>
                <c:pt idx="955">
                  <c:v>111.57134615350697</c:v>
                </c:pt>
                <c:pt idx="956">
                  <c:v>111.57133477111019</c:v>
                </c:pt>
                <c:pt idx="957">
                  <c:v>111.57132338782394</c:v>
                </c:pt>
                <c:pt idx="958">
                  <c:v>111.57131200364823</c:v>
                </c:pt>
                <c:pt idx="959">
                  <c:v>111.57130061858309</c:v>
                </c:pt>
                <c:pt idx="960">
                  <c:v>111.57128923262853</c:v>
                </c:pt>
                <c:pt idx="961">
                  <c:v>111.57127784578456</c:v>
                </c:pt>
                <c:pt idx="962">
                  <c:v>111.57126645805121</c:v>
                </c:pt>
                <c:pt idx="963">
                  <c:v>111.57125506942847</c:v>
                </c:pt>
                <c:pt idx="964">
                  <c:v>111.57124367991638</c:v>
                </c:pt>
                <c:pt idx="965">
                  <c:v>111.57123228951494</c:v>
                </c:pt>
                <c:pt idx="966">
                  <c:v>111.57122089822415</c:v>
                </c:pt>
                <c:pt idx="967">
                  <c:v>111.57120950604406</c:v>
                </c:pt>
                <c:pt idx="968">
                  <c:v>111.57119811297464</c:v>
                </c:pt>
                <c:pt idx="969">
                  <c:v>111.57118671901594</c:v>
                </c:pt>
                <c:pt idx="970">
                  <c:v>111.57117532416797</c:v>
                </c:pt>
                <c:pt idx="971">
                  <c:v>111.57116392843075</c:v>
                </c:pt>
                <c:pt idx="972">
                  <c:v>111.57115253180427</c:v>
                </c:pt>
                <c:pt idx="973">
                  <c:v>111.57114113428858</c:v>
                </c:pt>
                <c:pt idx="974">
                  <c:v>111.57112973588364</c:v>
                </c:pt>
                <c:pt idx="975">
                  <c:v>111.57111833658954</c:v>
                </c:pt>
                <c:pt idx="976">
                  <c:v>111.57110693640622</c:v>
                </c:pt>
                <c:pt idx="977">
                  <c:v>111.57109553533375</c:v>
                </c:pt>
                <c:pt idx="978">
                  <c:v>111.57108413337212</c:v>
                </c:pt>
                <c:pt idx="979">
                  <c:v>111.57107273052135</c:v>
                </c:pt>
                <c:pt idx="980">
                  <c:v>111.57106132678146</c:v>
                </c:pt>
                <c:pt idx="981">
                  <c:v>111.57104992215245</c:v>
                </c:pt>
                <c:pt idx="982">
                  <c:v>111.57103851663436</c:v>
                </c:pt>
                <c:pt idx="983">
                  <c:v>111.57102711022719</c:v>
                </c:pt>
                <c:pt idx="984">
                  <c:v>111.57101570293094</c:v>
                </c:pt>
                <c:pt idx="985">
                  <c:v>111.57100429474565</c:v>
                </c:pt>
                <c:pt idx="986">
                  <c:v>111.5709928856713</c:v>
                </c:pt>
                <c:pt idx="987">
                  <c:v>111.57098147570795</c:v>
                </c:pt>
                <c:pt idx="988">
                  <c:v>111.57097006485559</c:v>
                </c:pt>
                <c:pt idx="989">
                  <c:v>111.57095865311425</c:v>
                </c:pt>
                <c:pt idx="990">
                  <c:v>111.57094724048392</c:v>
                </c:pt>
                <c:pt idx="991">
                  <c:v>111.57093582696463</c:v>
                </c:pt>
                <c:pt idx="992">
                  <c:v>111.57092441255639</c:v>
                </c:pt>
                <c:pt idx="993">
                  <c:v>111.57091299725921</c:v>
                </c:pt>
                <c:pt idx="994">
                  <c:v>111.57090158107313</c:v>
                </c:pt>
                <c:pt idx="995">
                  <c:v>111.57089016399814</c:v>
                </c:pt>
                <c:pt idx="996">
                  <c:v>111.57087874603425</c:v>
                </c:pt>
                <c:pt idx="997">
                  <c:v>111.57086732718152</c:v>
                </c:pt>
                <c:pt idx="998">
                  <c:v>111.57085590743991</c:v>
                </c:pt>
                <c:pt idx="999">
                  <c:v>111.57084448680945</c:v>
                </c:pt>
                <c:pt idx="1000">
                  <c:v>111.57083306529017</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35.900000000000198</c:v>
                </c:pt>
                <c:pt idx="720">
                  <c:v>36.000000000000199</c:v>
                </c:pt>
                <c:pt idx="721">
                  <c:v>36.1000000000002</c:v>
                </c:pt>
                <c:pt idx="722">
                  <c:v>36.200000000000202</c:v>
                </c:pt>
                <c:pt idx="723">
                  <c:v>36.300000000000203</c:v>
                </c:pt>
                <c:pt idx="724">
                  <c:v>36.400000000000205</c:v>
                </c:pt>
                <c:pt idx="725">
                  <c:v>36.500000000000206</c:v>
                </c:pt>
                <c:pt idx="726">
                  <c:v>36.600000000000207</c:v>
                </c:pt>
                <c:pt idx="727">
                  <c:v>36.700000000000209</c:v>
                </c:pt>
                <c:pt idx="728">
                  <c:v>36.80000000000021</c:v>
                </c:pt>
                <c:pt idx="729">
                  <c:v>36.900000000000212</c:v>
                </c:pt>
                <c:pt idx="730">
                  <c:v>37.000000000000213</c:v>
                </c:pt>
                <c:pt idx="731">
                  <c:v>37.100000000000215</c:v>
                </c:pt>
                <c:pt idx="732">
                  <c:v>37.200000000000216</c:v>
                </c:pt>
                <c:pt idx="733">
                  <c:v>37.300000000000217</c:v>
                </c:pt>
                <c:pt idx="734">
                  <c:v>37.400000000000219</c:v>
                </c:pt>
                <c:pt idx="735">
                  <c:v>37.50000000000022</c:v>
                </c:pt>
                <c:pt idx="736">
                  <c:v>37.600000000000222</c:v>
                </c:pt>
                <c:pt idx="737">
                  <c:v>37.700000000000223</c:v>
                </c:pt>
                <c:pt idx="738">
                  <c:v>37.800000000000225</c:v>
                </c:pt>
                <c:pt idx="739">
                  <c:v>37.900000000000226</c:v>
                </c:pt>
                <c:pt idx="740">
                  <c:v>38.000000000000227</c:v>
                </c:pt>
                <c:pt idx="741">
                  <c:v>38.100000000000229</c:v>
                </c:pt>
                <c:pt idx="742">
                  <c:v>38.20000000000023</c:v>
                </c:pt>
                <c:pt idx="743">
                  <c:v>38.300000000000232</c:v>
                </c:pt>
                <c:pt idx="744">
                  <c:v>38.400000000000233</c:v>
                </c:pt>
                <c:pt idx="745">
                  <c:v>38.500000000000234</c:v>
                </c:pt>
                <c:pt idx="746">
                  <c:v>38.600000000000236</c:v>
                </c:pt>
                <c:pt idx="747">
                  <c:v>38.700000000000237</c:v>
                </c:pt>
                <c:pt idx="748">
                  <c:v>38.800000000000239</c:v>
                </c:pt>
                <c:pt idx="749">
                  <c:v>38.90000000000024</c:v>
                </c:pt>
                <c:pt idx="750">
                  <c:v>39.000000000000242</c:v>
                </c:pt>
                <c:pt idx="751">
                  <c:v>39.100000000000243</c:v>
                </c:pt>
                <c:pt idx="752">
                  <c:v>39.200000000000244</c:v>
                </c:pt>
                <c:pt idx="753">
                  <c:v>39.300000000000246</c:v>
                </c:pt>
                <c:pt idx="754">
                  <c:v>39.400000000000247</c:v>
                </c:pt>
                <c:pt idx="755">
                  <c:v>39.500000000000249</c:v>
                </c:pt>
                <c:pt idx="756">
                  <c:v>39.60000000000025</c:v>
                </c:pt>
                <c:pt idx="757">
                  <c:v>39.700000000000252</c:v>
                </c:pt>
                <c:pt idx="758">
                  <c:v>39.800000000000253</c:v>
                </c:pt>
                <c:pt idx="759">
                  <c:v>39.900000000000254</c:v>
                </c:pt>
                <c:pt idx="760">
                  <c:v>40.000000000000256</c:v>
                </c:pt>
                <c:pt idx="761">
                  <c:v>40.100000000000257</c:v>
                </c:pt>
                <c:pt idx="762">
                  <c:v>40.200000000000259</c:v>
                </c:pt>
                <c:pt idx="763">
                  <c:v>40.30000000000026</c:v>
                </c:pt>
                <c:pt idx="764">
                  <c:v>40.400000000000261</c:v>
                </c:pt>
                <c:pt idx="765">
                  <c:v>40.500000000000263</c:v>
                </c:pt>
                <c:pt idx="766">
                  <c:v>40.600000000000264</c:v>
                </c:pt>
                <c:pt idx="767">
                  <c:v>40.700000000000266</c:v>
                </c:pt>
                <c:pt idx="768">
                  <c:v>40.800000000000267</c:v>
                </c:pt>
                <c:pt idx="769">
                  <c:v>40.900000000000269</c:v>
                </c:pt>
                <c:pt idx="770">
                  <c:v>41.00000000000027</c:v>
                </c:pt>
                <c:pt idx="771">
                  <c:v>41.100000000000271</c:v>
                </c:pt>
                <c:pt idx="772">
                  <c:v>41.200000000000273</c:v>
                </c:pt>
                <c:pt idx="773">
                  <c:v>41.300000000000274</c:v>
                </c:pt>
                <c:pt idx="774">
                  <c:v>41.400000000000276</c:v>
                </c:pt>
                <c:pt idx="775">
                  <c:v>41.500000000000277</c:v>
                </c:pt>
                <c:pt idx="776">
                  <c:v>41.600000000000279</c:v>
                </c:pt>
                <c:pt idx="777">
                  <c:v>41.70000000000028</c:v>
                </c:pt>
                <c:pt idx="778">
                  <c:v>41.800000000000281</c:v>
                </c:pt>
                <c:pt idx="779">
                  <c:v>41.900000000000283</c:v>
                </c:pt>
                <c:pt idx="780">
                  <c:v>42.000000000000284</c:v>
                </c:pt>
                <c:pt idx="781">
                  <c:v>42.100000000000286</c:v>
                </c:pt>
                <c:pt idx="782">
                  <c:v>42.200000000000287</c:v>
                </c:pt>
                <c:pt idx="783">
                  <c:v>42.300000000000288</c:v>
                </c:pt>
                <c:pt idx="784">
                  <c:v>42.40000000000029</c:v>
                </c:pt>
                <c:pt idx="785">
                  <c:v>42.500000000000291</c:v>
                </c:pt>
                <c:pt idx="786">
                  <c:v>42.600000000000293</c:v>
                </c:pt>
                <c:pt idx="787">
                  <c:v>42.700000000000294</c:v>
                </c:pt>
                <c:pt idx="788">
                  <c:v>42.800000000000296</c:v>
                </c:pt>
                <c:pt idx="789">
                  <c:v>42.900000000000297</c:v>
                </c:pt>
                <c:pt idx="790">
                  <c:v>43.000000000000298</c:v>
                </c:pt>
                <c:pt idx="791">
                  <c:v>43.1000000000003</c:v>
                </c:pt>
                <c:pt idx="792">
                  <c:v>43.200000000000301</c:v>
                </c:pt>
                <c:pt idx="793">
                  <c:v>43.300000000000303</c:v>
                </c:pt>
                <c:pt idx="794">
                  <c:v>43.400000000000304</c:v>
                </c:pt>
                <c:pt idx="795">
                  <c:v>43.500000000000306</c:v>
                </c:pt>
                <c:pt idx="796">
                  <c:v>43.600000000000307</c:v>
                </c:pt>
                <c:pt idx="797">
                  <c:v>43.700000000000308</c:v>
                </c:pt>
                <c:pt idx="798">
                  <c:v>43.80000000000031</c:v>
                </c:pt>
                <c:pt idx="799">
                  <c:v>43.900000000000311</c:v>
                </c:pt>
                <c:pt idx="800">
                  <c:v>43.900100000000315</c:v>
                </c:pt>
                <c:pt idx="801">
                  <c:v>43.900200000000318</c:v>
                </c:pt>
                <c:pt idx="802">
                  <c:v>43.900300000000321</c:v>
                </c:pt>
                <c:pt idx="803">
                  <c:v>43.900400000000324</c:v>
                </c:pt>
                <c:pt idx="804">
                  <c:v>43.900500000000328</c:v>
                </c:pt>
                <c:pt idx="805">
                  <c:v>43.900600000000331</c:v>
                </c:pt>
                <c:pt idx="806">
                  <c:v>43.900700000000334</c:v>
                </c:pt>
                <c:pt idx="807">
                  <c:v>43.900800000000338</c:v>
                </c:pt>
                <c:pt idx="808">
                  <c:v>43.900900000000341</c:v>
                </c:pt>
                <c:pt idx="809">
                  <c:v>43.901000000000344</c:v>
                </c:pt>
                <c:pt idx="810">
                  <c:v>43.901100000000348</c:v>
                </c:pt>
                <c:pt idx="811">
                  <c:v>43.901200000000351</c:v>
                </c:pt>
                <c:pt idx="812">
                  <c:v>43.901300000000354</c:v>
                </c:pt>
                <c:pt idx="813">
                  <c:v>43.901400000000358</c:v>
                </c:pt>
                <c:pt idx="814">
                  <c:v>43.901500000000361</c:v>
                </c:pt>
                <c:pt idx="815">
                  <c:v>43.901600000000364</c:v>
                </c:pt>
                <c:pt idx="816">
                  <c:v>43.901700000000368</c:v>
                </c:pt>
                <c:pt idx="817">
                  <c:v>43.901800000000371</c:v>
                </c:pt>
                <c:pt idx="818">
                  <c:v>43.901900000000374</c:v>
                </c:pt>
                <c:pt idx="819">
                  <c:v>43.902000000000378</c:v>
                </c:pt>
                <c:pt idx="820">
                  <c:v>43.902100000000381</c:v>
                </c:pt>
                <c:pt idx="821">
                  <c:v>43.902200000000384</c:v>
                </c:pt>
                <c:pt idx="822">
                  <c:v>43.902300000000388</c:v>
                </c:pt>
                <c:pt idx="823">
                  <c:v>43.902400000000391</c:v>
                </c:pt>
                <c:pt idx="824">
                  <c:v>43.902500000000394</c:v>
                </c:pt>
                <c:pt idx="825">
                  <c:v>43.902600000000398</c:v>
                </c:pt>
                <c:pt idx="826">
                  <c:v>43.902700000000401</c:v>
                </c:pt>
                <c:pt idx="827">
                  <c:v>43.902800000000404</c:v>
                </c:pt>
                <c:pt idx="828">
                  <c:v>43.902900000000407</c:v>
                </c:pt>
                <c:pt idx="829">
                  <c:v>43.903000000000411</c:v>
                </c:pt>
                <c:pt idx="830">
                  <c:v>43.903100000000414</c:v>
                </c:pt>
                <c:pt idx="831">
                  <c:v>43.903200000000417</c:v>
                </c:pt>
                <c:pt idx="832">
                  <c:v>43.903300000000421</c:v>
                </c:pt>
                <c:pt idx="833">
                  <c:v>43.903400000000424</c:v>
                </c:pt>
                <c:pt idx="834">
                  <c:v>43.903500000000427</c:v>
                </c:pt>
                <c:pt idx="835">
                  <c:v>43.903600000000431</c:v>
                </c:pt>
                <c:pt idx="836">
                  <c:v>43.903700000000434</c:v>
                </c:pt>
                <c:pt idx="837">
                  <c:v>43.903800000000437</c:v>
                </c:pt>
                <c:pt idx="838">
                  <c:v>43.903900000000441</c:v>
                </c:pt>
                <c:pt idx="839">
                  <c:v>43.904000000000444</c:v>
                </c:pt>
                <c:pt idx="840">
                  <c:v>43.904100000000447</c:v>
                </c:pt>
                <c:pt idx="841">
                  <c:v>43.904200000000451</c:v>
                </c:pt>
                <c:pt idx="842">
                  <c:v>43.904300000000454</c:v>
                </c:pt>
                <c:pt idx="843">
                  <c:v>43.904400000000457</c:v>
                </c:pt>
                <c:pt idx="844">
                  <c:v>43.904500000000461</c:v>
                </c:pt>
                <c:pt idx="845">
                  <c:v>43.904600000000464</c:v>
                </c:pt>
                <c:pt idx="846">
                  <c:v>43.904700000000467</c:v>
                </c:pt>
                <c:pt idx="847">
                  <c:v>43.904800000000471</c:v>
                </c:pt>
                <c:pt idx="848">
                  <c:v>43.904900000000474</c:v>
                </c:pt>
                <c:pt idx="849">
                  <c:v>43.905000000000477</c:v>
                </c:pt>
                <c:pt idx="850">
                  <c:v>43.905100000000481</c:v>
                </c:pt>
                <c:pt idx="851">
                  <c:v>43.905200000000484</c:v>
                </c:pt>
                <c:pt idx="852">
                  <c:v>43.905300000000487</c:v>
                </c:pt>
                <c:pt idx="853">
                  <c:v>43.90540000000049</c:v>
                </c:pt>
                <c:pt idx="854">
                  <c:v>43.905500000000494</c:v>
                </c:pt>
                <c:pt idx="855">
                  <c:v>43.905600000000497</c:v>
                </c:pt>
                <c:pt idx="856">
                  <c:v>43.9057000000005</c:v>
                </c:pt>
                <c:pt idx="857">
                  <c:v>43.905800000000504</c:v>
                </c:pt>
                <c:pt idx="858">
                  <c:v>43.905900000000507</c:v>
                </c:pt>
                <c:pt idx="859">
                  <c:v>43.90600000000051</c:v>
                </c:pt>
                <c:pt idx="860">
                  <c:v>43.906100000000514</c:v>
                </c:pt>
                <c:pt idx="861">
                  <c:v>43.906200000000517</c:v>
                </c:pt>
                <c:pt idx="862">
                  <c:v>43.90630000000052</c:v>
                </c:pt>
                <c:pt idx="863">
                  <c:v>43.906400000000524</c:v>
                </c:pt>
                <c:pt idx="864">
                  <c:v>43.906500000000527</c:v>
                </c:pt>
                <c:pt idx="865">
                  <c:v>43.90660000000053</c:v>
                </c:pt>
                <c:pt idx="866">
                  <c:v>43.906700000000534</c:v>
                </c:pt>
                <c:pt idx="867">
                  <c:v>43.906800000000537</c:v>
                </c:pt>
                <c:pt idx="868">
                  <c:v>43.90690000000054</c:v>
                </c:pt>
                <c:pt idx="869">
                  <c:v>43.907000000000544</c:v>
                </c:pt>
                <c:pt idx="870">
                  <c:v>43.907100000000547</c:v>
                </c:pt>
                <c:pt idx="871">
                  <c:v>43.90720000000055</c:v>
                </c:pt>
                <c:pt idx="872">
                  <c:v>43.907300000000554</c:v>
                </c:pt>
                <c:pt idx="873">
                  <c:v>43.907400000000557</c:v>
                </c:pt>
                <c:pt idx="874">
                  <c:v>43.90750000000056</c:v>
                </c:pt>
                <c:pt idx="875">
                  <c:v>43.907600000000564</c:v>
                </c:pt>
                <c:pt idx="876">
                  <c:v>43.907700000000567</c:v>
                </c:pt>
                <c:pt idx="877">
                  <c:v>43.90780000000057</c:v>
                </c:pt>
                <c:pt idx="878">
                  <c:v>43.907900000000573</c:v>
                </c:pt>
                <c:pt idx="879">
                  <c:v>43.908000000000577</c:v>
                </c:pt>
                <c:pt idx="880">
                  <c:v>43.90810000000058</c:v>
                </c:pt>
                <c:pt idx="881">
                  <c:v>43.908200000000583</c:v>
                </c:pt>
                <c:pt idx="882">
                  <c:v>43.908300000000587</c:v>
                </c:pt>
                <c:pt idx="883">
                  <c:v>43.90840000000059</c:v>
                </c:pt>
                <c:pt idx="884">
                  <c:v>43.908500000000593</c:v>
                </c:pt>
                <c:pt idx="885">
                  <c:v>43.908600000000597</c:v>
                </c:pt>
                <c:pt idx="886">
                  <c:v>43.9087000000006</c:v>
                </c:pt>
                <c:pt idx="887">
                  <c:v>43.908800000000603</c:v>
                </c:pt>
                <c:pt idx="888">
                  <c:v>43.908900000000607</c:v>
                </c:pt>
                <c:pt idx="889">
                  <c:v>43.90900000000061</c:v>
                </c:pt>
                <c:pt idx="890">
                  <c:v>43.909100000000613</c:v>
                </c:pt>
                <c:pt idx="891">
                  <c:v>43.909200000000617</c:v>
                </c:pt>
                <c:pt idx="892">
                  <c:v>43.90930000000062</c:v>
                </c:pt>
                <c:pt idx="893">
                  <c:v>43.909400000000623</c:v>
                </c:pt>
                <c:pt idx="894">
                  <c:v>43.909500000000627</c:v>
                </c:pt>
                <c:pt idx="895">
                  <c:v>43.90960000000063</c:v>
                </c:pt>
                <c:pt idx="896">
                  <c:v>43.909700000000633</c:v>
                </c:pt>
                <c:pt idx="897">
                  <c:v>43.909800000000637</c:v>
                </c:pt>
                <c:pt idx="898">
                  <c:v>43.90990000000064</c:v>
                </c:pt>
                <c:pt idx="899">
                  <c:v>43.910000000000643</c:v>
                </c:pt>
                <c:pt idx="900">
                  <c:v>43.910100000000647</c:v>
                </c:pt>
                <c:pt idx="901">
                  <c:v>43.91020000000065</c:v>
                </c:pt>
                <c:pt idx="902">
                  <c:v>43.910300000000653</c:v>
                </c:pt>
                <c:pt idx="903">
                  <c:v>43.910400000000656</c:v>
                </c:pt>
                <c:pt idx="904">
                  <c:v>43.91050000000066</c:v>
                </c:pt>
                <c:pt idx="905">
                  <c:v>43.910600000000663</c:v>
                </c:pt>
                <c:pt idx="906">
                  <c:v>43.910700000000666</c:v>
                </c:pt>
                <c:pt idx="907">
                  <c:v>43.91080000000067</c:v>
                </c:pt>
                <c:pt idx="908">
                  <c:v>43.910900000000673</c:v>
                </c:pt>
                <c:pt idx="909">
                  <c:v>43.911000000000676</c:v>
                </c:pt>
                <c:pt idx="910">
                  <c:v>43.91110000000068</c:v>
                </c:pt>
                <c:pt idx="911">
                  <c:v>43.911200000000683</c:v>
                </c:pt>
                <c:pt idx="912">
                  <c:v>43.911300000000686</c:v>
                </c:pt>
                <c:pt idx="913">
                  <c:v>43.91140000000069</c:v>
                </c:pt>
                <c:pt idx="914">
                  <c:v>43.911500000000693</c:v>
                </c:pt>
                <c:pt idx="915">
                  <c:v>43.911600000000696</c:v>
                </c:pt>
                <c:pt idx="916">
                  <c:v>43.9117000000007</c:v>
                </c:pt>
                <c:pt idx="917">
                  <c:v>43.911800000000703</c:v>
                </c:pt>
                <c:pt idx="918">
                  <c:v>43.911900000000706</c:v>
                </c:pt>
                <c:pt idx="919">
                  <c:v>43.91200000000071</c:v>
                </c:pt>
                <c:pt idx="920">
                  <c:v>43.912100000000713</c:v>
                </c:pt>
                <c:pt idx="921">
                  <c:v>43.912200000000716</c:v>
                </c:pt>
                <c:pt idx="922">
                  <c:v>43.91230000000072</c:v>
                </c:pt>
                <c:pt idx="923">
                  <c:v>43.912400000000723</c:v>
                </c:pt>
                <c:pt idx="924">
                  <c:v>43.912500000000726</c:v>
                </c:pt>
                <c:pt idx="925">
                  <c:v>43.912600000000729</c:v>
                </c:pt>
                <c:pt idx="926">
                  <c:v>43.912700000000733</c:v>
                </c:pt>
                <c:pt idx="927">
                  <c:v>43.912800000000736</c:v>
                </c:pt>
                <c:pt idx="928">
                  <c:v>43.912900000000739</c:v>
                </c:pt>
                <c:pt idx="929">
                  <c:v>43.913000000000743</c:v>
                </c:pt>
                <c:pt idx="930">
                  <c:v>43.913100000000746</c:v>
                </c:pt>
                <c:pt idx="931">
                  <c:v>43.913200000000749</c:v>
                </c:pt>
                <c:pt idx="932">
                  <c:v>43.913300000000753</c:v>
                </c:pt>
                <c:pt idx="933">
                  <c:v>43.913400000000756</c:v>
                </c:pt>
                <c:pt idx="934">
                  <c:v>43.913500000000759</c:v>
                </c:pt>
                <c:pt idx="935">
                  <c:v>43.913600000000763</c:v>
                </c:pt>
                <c:pt idx="936">
                  <c:v>43.913700000000766</c:v>
                </c:pt>
                <c:pt idx="937">
                  <c:v>43.913800000000769</c:v>
                </c:pt>
                <c:pt idx="938">
                  <c:v>43.913900000000773</c:v>
                </c:pt>
                <c:pt idx="939">
                  <c:v>43.914000000000776</c:v>
                </c:pt>
                <c:pt idx="940">
                  <c:v>43.914100000000779</c:v>
                </c:pt>
                <c:pt idx="941">
                  <c:v>43.914200000000783</c:v>
                </c:pt>
                <c:pt idx="942">
                  <c:v>43.914300000000786</c:v>
                </c:pt>
                <c:pt idx="943">
                  <c:v>43.914400000000789</c:v>
                </c:pt>
                <c:pt idx="944">
                  <c:v>43.914500000000793</c:v>
                </c:pt>
                <c:pt idx="945">
                  <c:v>43.914600000000796</c:v>
                </c:pt>
                <c:pt idx="946">
                  <c:v>43.914700000000799</c:v>
                </c:pt>
                <c:pt idx="947">
                  <c:v>43.914800000000803</c:v>
                </c:pt>
                <c:pt idx="948">
                  <c:v>43.914900000000806</c:v>
                </c:pt>
                <c:pt idx="949">
                  <c:v>43.915000000000809</c:v>
                </c:pt>
                <c:pt idx="950">
                  <c:v>43.915100000000812</c:v>
                </c:pt>
                <c:pt idx="951">
                  <c:v>43.915200000000816</c:v>
                </c:pt>
                <c:pt idx="952">
                  <c:v>43.915300000000819</c:v>
                </c:pt>
                <c:pt idx="953">
                  <c:v>43.915400000000822</c:v>
                </c:pt>
                <c:pt idx="954">
                  <c:v>43.915500000000826</c:v>
                </c:pt>
                <c:pt idx="955">
                  <c:v>43.915600000000829</c:v>
                </c:pt>
                <c:pt idx="956">
                  <c:v>43.915700000000832</c:v>
                </c:pt>
                <c:pt idx="957">
                  <c:v>43.915800000000836</c:v>
                </c:pt>
                <c:pt idx="958">
                  <c:v>43.915900000000839</c:v>
                </c:pt>
                <c:pt idx="959">
                  <c:v>43.916000000000842</c:v>
                </c:pt>
                <c:pt idx="960">
                  <c:v>43.916100000000846</c:v>
                </c:pt>
                <c:pt idx="961">
                  <c:v>43.916200000000849</c:v>
                </c:pt>
                <c:pt idx="962">
                  <c:v>43.916300000000852</c:v>
                </c:pt>
                <c:pt idx="963">
                  <c:v>43.916400000000856</c:v>
                </c:pt>
                <c:pt idx="964">
                  <c:v>43.916500000000859</c:v>
                </c:pt>
                <c:pt idx="965">
                  <c:v>43.916600000000862</c:v>
                </c:pt>
                <c:pt idx="966">
                  <c:v>43.916700000000866</c:v>
                </c:pt>
                <c:pt idx="967">
                  <c:v>43.916800000000869</c:v>
                </c:pt>
                <c:pt idx="968">
                  <c:v>43.916900000000872</c:v>
                </c:pt>
                <c:pt idx="969">
                  <c:v>43.917000000000876</c:v>
                </c:pt>
                <c:pt idx="970">
                  <c:v>43.917100000000879</c:v>
                </c:pt>
                <c:pt idx="971">
                  <c:v>43.917200000000882</c:v>
                </c:pt>
                <c:pt idx="972">
                  <c:v>43.917300000000886</c:v>
                </c:pt>
                <c:pt idx="973">
                  <c:v>43.917400000000889</c:v>
                </c:pt>
                <c:pt idx="974">
                  <c:v>43.917500000000892</c:v>
                </c:pt>
                <c:pt idx="975">
                  <c:v>43.917600000000895</c:v>
                </c:pt>
                <c:pt idx="976">
                  <c:v>43.917700000000899</c:v>
                </c:pt>
                <c:pt idx="977">
                  <c:v>43.917800000000902</c:v>
                </c:pt>
                <c:pt idx="978">
                  <c:v>43.917900000000905</c:v>
                </c:pt>
                <c:pt idx="979">
                  <c:v>43.918000000000909</c:v>
                </c:pt>
                <c:pt idx="980">
                  <c:v>43.918100000000912</c:v>
                </c:pt>
                <c:pt idx="981">
                  <c:v>43.918200000000915</c:v>
                </c:pt>
                <c:pt idx="982">
                  <c:v>43.918300000000919</c:v>
                </c:pt>
                <c:pt idx="983">
                  <c:v>43.918400000000922</c:v>
                </c:pt>
                <c:pt idx="984">
                  <c:v>43.918500000000925</c:v>
                </c:pt>
                <c:pt idx="985">
                  <c:v>43.918600000000929</c:v>
                </c:pt>
                <c:pt idx="986">
                  <c:v>43.918700000000932</c:v>
                </c:pt>
                <c:pt idx="987">
                  <c:v>43.918800000000935</c:v>
                </c:pt>
                <c:pt idx="988">
                  <c:v>43.918900000000939</c:v>
                </c:pt>
                <c:pt idx="989">
                  <c:v>43.919000000000942</c:v>
                </c:pt>
                <c:pt idx="990">
                  <c:v>43.919100000000945</c:v>
                </c:pt>
                <c:pt idx="991">
                  <c:v>43.919200000000949</c:v>
                </c:pt>
                <c:pt idx="992">
                  <c:v>43.919300000000952</c:v>
                </c:pt>
                <c:pt idx="993">
                  <c:v>43.919400000000955</c:v>
                </c:pt>
                <c:pt idx="994">
                  <c:v>43.919500000000959</c:v>
                </c:pt>
                <c:pt idx="995">
                  <c:v>43.919600000000962</c:v>
                </c:pt>
                <c:pt idx="996">
                  <c:v>43.919700000000965</c:v>
                </c:pt>
                <c:pt idx="997">
                  <c:v>43.919800000000969</c:v>
                </c:pt>
                <c:pt idx="998">
                  <c:v>43.919900000000972</c:v>
                </c:pt>
                <c:pt idx="999">
                  <c:v>43.920000000000975</c:v>
                </c:pt>
                <c:pt idx="1000">
                  <c:v>43.920100000000978</c:v>
                </c:pt>
              </c:numCache>
            </c:numRef>
          </c:xVal>
          <c:yVal>
            <c:numRef>
              <c:f>Calculs!$AG$4:$AG$1004</c:f>
              <c:numCache>
                <c:formatCode>0.00</c:formatCode>
                <c:ptCount val="1001"/>
                <c:pt idx="0">
                  <c:v>0</c:v>
                </c:pt>
                <c:pt idx="1">
                  <c:v>-1.4367604059537626</c:v>
                </c:pt>
                <c:pt idx="2">
                  <c:v>28.214673926711072</c:v>
                </c:pt>
                <c:pt idx="3">
                  <c:v>57.850220512798764</c:v>
                </c:pt>
                <c:pt idx="4">
                  <c:v>87.482804735029021</c:v>
                </c:pt>
                <c:pt idx="5">
                  <c:v>117.1250076525638</c:v>
                </c:pt>
                <c:pt idx="6">
                  <c:v>131.74416027305475</c:v>
                </c:pt>
                <c:pt idx="7">
                  <c:v>131.31833486108519</c:v>
                </c:pt>
                <c:pt idx="8">
                  <c:v>130.8899679757788</c:v>
                </c:pt>
                <c:pt idx="9">
                  <c:v>130.45908331820124</c:v>
                </c:pt>
                <c:pt idx="10">
                  <c:v>130.02570475148769</c:v>
                </c:pt>
                <c:pt idx="11">
                  <c:v>129.58985629699262</c:v>
                </c:pt>
                <c:pt idx="12">
                  <c:v>129.15156213041169</c:v>
                </c:pt>
                <c:pt idx="13">
                  <c:v>128.71084657787819</c:v>
                </c:pt>
                <c:pt idx="14">
                  <c:v>128.26773411203547</c:v>
                </c:pt>
                <c:pt idx="15">
                  <c:v>127.8222493480874</c:v>
                </c:pt>
                <c:pt idx="16">
                  <c:v>127.3744170398285</c:v>
                </c:pt>
                <c:pt idx="17">
                  <c:v>126.92426207565535</c:v>
                </c:pt>
                <c:pt idx="18">
                  <c:v>126.471809474561</c:v>
                </c:pt>
                <c:pt idx="19">
                  <c:v>126.01708438211419</c:v>
                </c:pt>
                <c:pt idx="20">
                  <c:v>125.56011206642435</c:v>
                </c:pt>
                <c:pt idx="21">
                  <c:v>125.10091791409458</c:v>
                </c:pt>
                <c:pt idx="22">
                  <c:v>124.63952742616367</c:v>
                </c:pt>
                <c:pt idx="23">
                  <c:v>124.17596621403899</c:v>
                </c:pt>
                <c:pt idx="24">
                  <c:v>123.71025999542104</c:v>
                </c:pt>
                <c:pt idx="25">
                  <c:v>123.24243459022182</c:v>
                </c:pt>
                <c:pt idx="26">
                  <c:v>122.77251591647806</c:v>
                </c:pt>
                <c:pt idx="27">
                  <c:v>122.30052998626074</c:v>
                </c:pt>
                <c:pt idx="28">
                  <c:v>121.8265029015818</c:v>
                </c:pt>
                <c:pt idx="29">
                  <c:v>121.35046085030027</c:v>
                </c:pt>
                <c:pt idx="30">
                  <c:v>120.87243010202825</c:v>
                </c:pt>
                <c:pt idx="31">
                  <c:v>120.39243700403847</c:v>
                </c:pt>
                <c:pt idx="32">
                  <c:v>119.9105079771746</c:v>
                </c:pt>
                <c:pt idx="33">
                  <c:v>119.4266695117654</c:v>
                </c:pt>
                <c:pt idx="34">
                  <c:v>118.94094816354402</c:v>
                </c:pt>
                <c:pt idx="35">
                  <c:v>118.45337054957403</c:v>
                </c:pt>
                <c:pt idx="36">
                  <c:v>117.96396334418233</c:v>
                </c:pt>
                <c:pt idx="37">
                  <c:v>117.47275327490129</c:v>
                </c:pt>
                <c:pt idx="38">
                  <c:v>116.97976711842063</c:v>
                </c:pt>
                <c:pt idx="39">
                  <c:v>116.4850316965499</c:v>
                </c:pt>
                <c:pt idx="40">
                  <c:v>115.9885738721937</c:v>
                </c:pt>
                <c:pt idx="41">
                  <c:v>115.49042054533932</c:v>
                </c:pt>
                <c:pt idx="42">
                  <c:v>114.99059864905898</c:v>
                </c:pt>
                <c:pt idx="43">
                  <c:v>114.48913514552757</c:v>
                </c:pt>
                <c:pt idx="44">
                  <c:v>113.98605702205597</c:v>
                </c:pt>
                <c:pt idx="45">
                  <c:v>113.48139128714253</c:v>
                </c:pt>
                <c:pt idx="46">
                  <c:v>112.97516496654225</c:v>
                </c:pt>
                <c:pt idx="47">
                  <c:v>112.46740509935563</c:v>
                </c:pt>
                <c:pt idx="48">
                  <c:v>111.95813873413753</c:v>
                </c:pt>
                <c:pt idx="49">
                  <c:v>111.44739292502746</c:v>
                </c:pt>
                <c:pt idx="50">
                  <c:v>110.93519472790189</c:v>
                </c:pt>
                <c:pt idx="51">
                  <c:v>110.50161380291347</c:v>
                </c:pt>
                <c:pt idx="52">
                  <c:v>110.14671705105968</c:v>
                </c:pt>
                <c:pt idx="53">
                  <c:v>109.79041322276638</c:v>
                </c:pt>
                <c:pt idx="54">
                  <c:v>109.43272065380422</c:v>
                </c:pt>
                <c:pt idx="55">
                  <c:v>109.07365771976224</c:v>
                </c:pt>
                <c:pt idx="56">
                  <c:v>108.71324283363597</c:v>
                </c:pt>
                <c:pt idx="57">
                  <c:v>108.35149444342107</c:v>
                </c:pt>
                <c:pt idx="58">
                  <c:v>107.98843102971293</c:v>
                </c:pt>
                <c:pt idx="59">
                  <c:v>107.62407110331284</c:v>
                </c:pt>
                <c:pt idx="60">
                  <c:v>107.25843320284159</c:v>
                </c:pt>
                <c:pt idx="61">
                  <c:v>106.8915358923602</c:v>
                </c:pt>
                <c:pt idx="62">
                  <c:v>106.52339775899932</c:v>
                </c:pt>
                <c:pt idx="63">
                  <c:v>106.15403741059708</c:v>
                </c:pt>
                <c:pt idx="64">
                  <c:v>105.78347347334608</c:v>
                </c:pt>
                <c:pt idx="65">
                  <c:v>105.4117245894501</c:v>
                </c:pt>
                <c:pt idx="66">
                  <c:v>105.03880941479113</c:v>
                </c:pt>
                <c:pt idx="67">
                  <c:v>104.66474661660682</c:v>
                </c:pt>
                <c:pt idx="68">
                  <c:v>104.28955487117912</c:v>
                </c:pt>
                <c:pt idx="69">
                  <c:v>103.91325286153462</c:v>
                </c:pt>
                <c:pt idx="70">
                  <c:v>103.53585927515685</c:v>
                </c:pt>
                <c:pt idx="71">
                  <c:v>103.157392801711</c:v>
                </c:pt>
                <c:pt idx="72">
                  <c:v>102.77787213078189</c:v>
                </c:pt>
                <c:pt idx="73">
                  <c:v>102.3973159496248</c:v>
                </c:pt>
                <c:pt idx="74">
                  <c:v>102.01574294093072</c:v>
                </c:pt>
                <c:pt idx="75">
                  <c:v>101.63317178060535</c:v>
                </c:pt>
                <c:pt idx="76">
                  <c:v>101.24962113556309</c:v>
                </c:pt>
                <c:pt idx="77">
                  <c:v>100.86510966153568</c:v>
                </c:pt>
                <c:pt idx="78">
                  <c:v>100.47965600089691</c:v>
                </c:pt>
                <c:pt idx="79">
                  <c:v>100.09327878050237</c:v>
                </c:pt>
                <c:pt idx="80">
                  <c:v>99.705996609546176</c:v>
                </c:pt>
                <c:pt idx="81">
                  <c:v>99.317828077433859</c:v>
                </c:pt>
                <c:pt idx="82">
                  <c:v>98.928791751672208</c:v>
                </c:pt>
                <c:pt idx="83">
                  <c:v>98.538906175776674</c:v>
                </c:pt>
                <c:pt idx="84">
                  <c:v>98.148189867196265</c:v>
                </c:pt>
                <c:pt idx="85">
                  <c:v>97.756661315256451</c:v>
                </c:pt>
                <c:pt idx="86">
                  <c:v>97.364338979120419</c:v>
                </c:pt>
                <c:pt idx="87">
                  <c:v>96.971241285769054</c:v>
                </c:pt>
                <c:pt idx="88">
                  <c:v>96.577386627999743</c:v>
                </c:pt>
                <c:pt idx="89">
                  <c:v>96.182793362444698</c:v>
                </c:pt>
                <c:pt idx="90">
                  <c:v>95.787479807608506</c:v>
                </c:pt>
                <c:pt idx="91">
                  <c:v>95.391464241925988</c:v>
                </c:pt>
                <c:pt idx="92">
                  <c:v>94.994764901839758</c:v>
                </c:pt>
                <c:pt idx="93">
                  <c:v>94.597399979898569</c:v>
                </c:pt>
                <c:pt idx="94">
                  <c:v>94.199387622876102</c:v>
                </c:pt>
                <c:pt idx="95">
                  <c:v>93.800745929910789</c:v>
                </c:pt>
                <c:pt idx="96">
                  <c:v>93.401492950666878</c:v>
                </c:pt>
                <c:pt idx="97">
                  <c:v>93.001646683516739</c:v>
                </c:pt>
                <c:pt idx="98">
                  <c:v>92.601225073745113</c:v>
                </c:pt>
                <c:pt idx="99">
                  <c:v>92.200246011774823</c:v>
                </c:pt>
                <c:pt idx="100">
                  <c:v>91.798727331415151</c:v>
                </c:pt>
                <c:pt idx="101">
                  <c:v>91.359349888019977</c:v>
                </c:pt>
                <c:pt idx="102">
                  <c:v>90.882147843841423</c:v>
                </c:pt>
                <c:pt idx="103">
                  <c:v>90.404543541911821</c:v>
                </c:pt>
                <c:pt idx="104">
                  <c:v>89.926557923151535</c:v>
                </c:pt>
                <c:pt idx="105">
                  <c:v>89.448211826834807</c:v>
                </c:pt>
                <c:pt idx="106">
                  <c:v>88.969525988688872</c:v>
                </c:pt>
                <c:pt idx="107">
                  <c:v>88.490521039026845</c:v>
                </c:pt>
                <c:pt idx="108">
                  <c:v>88.011217500915095</c:v>
                </c:pt>
                <c:pt idx="109">
                  <c:v>87.531635788375638</c:v>
                </c:pt>
                <c:pt idx="110">
                  <c:v>87.051796204622462</c:v>
                </c:pt>
                <c:pt idx="111">
                  <c:v>86.571718940333099</c:v>
                </c:pt>
                <c:pt idx="112">
                  <c:v>86.091424071954805</c:v>
                </c:pt>
                <c:pt idx="113">
                  <c:v>85.610931560045458</c:v>
                </c:pt>
                <c:pt idx="114">
                  <c:v>85.130261247649742</c:v>
                </c:pt>
                <c:pt idx="115">
                  <c:v>84.649432858709702</c:v>
                </c:pt>
                <c:pt idx="116">
                  <c:v>84.168465996510733</c:v>
                </c:pt>
                <c:pt idx="117">
                  <c:v>83.687380142162212</c:v>
                </c:pt>
                <c:pt idx="118">
                  <c:v>83.206194653113215</c:v>
                </c:pt>
                <c:pt idx="119">
                  <c:v>82.724928761703225</c:v>
                </c:pt>
                <c:pt idx="120">
                  <c:v>82.243601573747739</c:v>
                </c:pt>
                <c:pt idx="121">
                  <c:v>81.762232067158649</c:v>
                </c:pt>
                <c:pt idx="122">
                  <c:v>81.280839090599642</c:v>
                </c:pt>
                <c:pt idx="123">
                  <c:v>80.799441362176452</c:v>
                </c:pt>
                <c:pt idx="124">
                  <c:v>80.318057468161584</c:v>
                </c:pt>
                <c:pt idx="125">
                  <c:v>79.836705861754041</c:v>
                </c:pt>
                <c:pt idx="126">
                  <c:v>79.355404861873481</c:v>
                </c:pt>
                <c:pt idx="127">
                  <c:v>78.8741726519889</c:v>
                </c:pt>
                <c:pt idx="128">
                  <c:v>78.393027278981691</c:v>
                </c:pt>
                <c:pt idx="129">
                  <c:v>77.911986652043083</c:v>
                </c:pt>
                <c:pt idx="130">
                  <c:v>77.431068541605754</c:v>
                </c:pt>
                <c:pt idx="131">
                  <c:v>76.95029057830952</c:v>
                </c:pt>
                <c:pt idx="132">
                  <c:v>76.469670252000697</c:v>
                </c:pt>
                <c:pt idx="133">
                  <c:v>75.989224910765813</c:v>
                </c:pt>
                <c:pt idx="134">
                  <c:v>75.508971759998289</c:v>
                </c:pt>
                <c:pt idx="135">
                  <c:v>75.028927861499028</c:v>
                </c:pt>
                <c:pt idx="136">
                  <c:v>74.549110132610238</c:v>
                </c:pt>
                <c:pt idx="137">
                  <c:v>74.069535345382164</c:v>
                </c:pt>
                <c:pt idx="138">
                  <c:v>73.590220125773172</c:v>
                </c:pt>
                <c:pt idx="139">
                  <c:v>73.111180952882222</c:v>
                </c:pt>
                <c:pt idx="140">
                  <c:v>72.63243415821394</c:v>
                </c:pt>
                <c:pt idx="141">
                  <c:v>72.153995924976343</c:v>
                </c:pt>
                <c:pt idx="142">
                  <c:v>71.675882287410445</c:v>
                </c:pt>
                <c:pt idx="143">
                  <c:v>71.198109130151678</c:v>
                </c:pt>
                <c:pt idx="144">
                  <c:v>70.720692187623555</c:v>
                </c:pt>
                <c:pt idx="145">
                  <c:v>70.243647043462033</c:v>
                </c:pt>
                <c:pt idx="146">
                  <c:v>69.766989129971776</c:v>
                </c:pt>
                <c:pt idx="147">
                  <c:v>69.290733727613201</c:v>
                </c:pt>
                <c:pt idx="148">
                  <c:v>68.814895964519991</c:v>
                </c:pt>
                <c:pt idx="149">
                  <c:v>68.339490816047558</c:v>
                </c:pt>
                <c:pt idx="150">
                  <c:v>67.864533104351324</c:v>
                </c:pt>
                <c:pt idx="151">
                  <c:v>67.402881044078256</c:v>
                </c:pt>
                <c:pt idx="152">
                  <c:v>66.954531926597298</c:v>
                </c:pt>
                <c:pt idx="153">
                  <c:v>66.506623228479171</c:v>
                </c:pt>
                <c:pt idx="154">
                  <c:v>66.059168310575984</c:v>
                </c:pt>
                <c:pt idx="155">
                  <c:v>65.612180393709977</c:v>
                </c:pt>
                <c:pt idx="156">
                  <c:v>65.165672558412894</c:v>
                </c:pt>
                <c:pt idx="157">
                  <c:v>64.719657744690224</c:v>
                </c:pt>
                <c:pt idx="158">
                  <c:v>64.274148751810813</c:v>
                </c:pt>
                <c:pt idx="159">
                  <c:v>63.829158238120769</c:v>
                </c:pt>
                <c:pt idx="160">
                  <c:v>63.384698720882298</c:v>
                </c:pt>
                <c:pt idx="161">
                  <c:v>62.940782576136407</c:v>
                </c:pt>
                <c:pt idx="162">
                  <c:v>62.497422038589605</c:v>
                </c:pt>
                <c:pt idx="163">
                  <c:v>62.054629201524456</c:v>
                </c:pt>
                <c:pt idx="164">
                  <c:v>61.612416016733263</c:v>
                </c:pt>
                <c:pt idx="165">
                  <c:v>61.170794294475009</c:v>
                </c:pt>
                <c:pt idx="166">
                  <c:v>60.72977570345526</c:v>
                </c:pt>
                <c:pt idx="167">
                  <c:v>60.28937177082851</c:v>
                </c:pt>
                <c:pt idx="168">
                  <c:v>59.849593882222699</c:v>
                </c:pt>
                <c:pt idx="169">
                  <c:v>59.410453281786047</c:v>
                </c:pt>
                <c:pt idx="170">
                  <c:v>58.97196107225529</c:v>
                </c:pt>
                <c:pt idx="171">
                  <c:v>58.534128215045769</c:v>
                </c:pt>
                <c:pt idx="172">
                  <c:v>58.096965530361985</c:v>
                </c:pt>
                <c:pt idx="173">
                  <c:v>57.660483697329902</c:v>
                </c:pt>
                <c:pt idx="174">
                  <c:v>57.224693254148967</c:v>
                </c:pt>
                <c:pt idx="175">
                  <c:v>56.789604598264987</c:v>
                </c:pt>
                <c:pt idx="176">
                  <c:v>56.355227986562767</c:v>
                </c:pt>
                <c:pt idx="177">
                  <c:v>55.921573535578347</c:v>
                </c:pt>
                <c:pt idx="178">
                  <c:v>55.488651221730827</c:v>
                </c:pt>
                <c:pt idx="179">
                  <c:v>55.056470881573084</c:v>
                </c:pt>
                <c:pt idx="180">
                  <c:v>54.625042212061501</c:v>
                </c:pt>
                <c:pt idx="181">
                  <c:v>54.194374770843915</c:v>
                </c:pt>
                <c:pt idx="182">
                  <c:v>53.7644779765659</c:v>
                </c:pt>
                <c:pt idx="183">
                  <c:v>53.335361109195134</c:v>
                </c:pt>
                <c:pt idx="184">
                  <c:v>52.907033310362912</c:v>
                </c:pt>
                <c:pt idx="185">
                  <c:v>52.479503583723407</c:v>
                </c:pt>
                <c:pt idx="186">
                  <c:v>52.052780795329483</c:v>
                </c:pt>
                <c:pt idx="187">
                  <c:v>51.626873674025589</c:v>
                </c:pt>
                <c:pt idx="188">
                  <c:v>51.201790811856895</c:v>
                </c:pt>
                <c:pt idx="189">
                  <c:v>50.777540664494303</c:v>
                </c:pt>
                <c:pt idx="190">
                  <c:v>50.354131551675586</c:v>
                </c:pt>
                <c:pt idx="191">
                  <c:v>49.931571657661792</c:v>
                </c:pt>
                <c:pt idx="192">
                  <c:v>49.509869031708845</c:v>
                </c:pt>
                <c:pt idx="193">
                  <c:v>49.089031588554249</c:v>
                </c:pt>
                <c:pt idx="194">
                  <c:v>48.66906710891783</c:v>
                </c:pt>
                <c:pt idx="195">
                  <c:v>48.249983240017563</c:v>
                </c:pt>
                <c:pt idx="196">
                  <c:v>47.831787496098649</c:v>
                </c:pt>
                <c:pt idx="197">
                  <c:v>47.414487258976834</c:v>
                </c:pt>
                <c:pt idx="198">
                  <c:v>46.998089778594561</c:v>
                </c:pt>
                <c:pt idx="199">
                  <c:v>46.582602173590843</c:v>
                </c:pt>
                <c:pt idx="200">
                  <c:v>46.168031431883549</c:v>
                </c:pt>
                <c:pt idx="201">
                  <c:v>45.754384411264262</c:v>
                </c:pt>
                <c:pt idx="202">
                  <c:v>45.341667840005343</c:v>
                </c:pt>
                <c:pt idx="203">
                  <c:v>44.929888317479183</c:v>
                </c:pt>
                <c:pt idx="204">
                  <c:v>44.519052314788759</c:v>
                </c:pt>
                <c:pt idx="205">
                  <c:v>44.109166175409719</c:v>
                </c:pt>
                <c:pt idx="206">
                  <c:v>43.700236115843545</c:v>
                </c:pt>
                <c:pt idx="207">
                  <c:v>43.292268226281379</c:v>
                </c:pt>
                <c:pt idx="208">
                  <c:v>42.885268471278714</c:v>
                </c:pt>
                <c:pt idx="209">
                  <c:v>42.479242690439705</c:v>
                </c:pt>
                <c:pt idx="210">
                  <c:v>42.074196599112064</c:v>
                </c:pt>
                <c:pt idx="211">
                  <c:v>41.670135789091191</c:v>
                </c:pt>
                <c:pt idx="212">
                  <c:v>41.267065729333893</c:v>
                </c:pt>
                <c:pt idx="213">
                  <c:v>40.864991766681243</c:v>
                </c:pt>
                <c:pt idx="214">
                  <c:v>40.463919126590078</c:v>
                </c:pt>
                <c:pt idx="215">
                  <c:v>40.063852913873426</c:v>
                </c:pt>
                <c:pt idx="216">
                  <c:v>39.664798113448946</c:v>
                </c:pt>
                <c:pt idx="217">
                  <c:v>39.26675959109555</c:v>
                </c:pt>
                <c:pt idx="218">
                  <c:v>38.869742094217941</c:v>
                </c:pt>
                <c:pt idx="219">
                  <c:v>38.473750252618188</c:v>
                </c:pt>
                <c:pt idx="220">
                  <c:v>38.078788579275404</c:v>
                </c:pt>
                <c:pt idx="221">
                  <c:v>37.684861471131562</c:v>
                </c:pt>
                <c:pt idx="222">
                  <c:v>37.291973209884709</c:v>
                </c:pt>
                <c:pt idx="223">
                  <c:v>36.900127962788325</c:v>
                </c:pt>
                <c:pt idx="224">
                  <c:v>36.509329783457119</c:v>
                </c:pt>
                <c:pt idx="225">
                  <c:v>36.119582612678968</c:v>
                </c:pt>
                <c:pt idx="226">
                  <c:v>35.73089027923205</c:v>
                </c:pt>
                <c:pt idx="227">
                  <c:v>35.343256500708414</c:v>
                </c:pt>
                <c:pt idx="228">
                  <c:v>34.956684884342039</c:v>
                </c:pt>
                <c:pt idx="229">
                  <c:v>34.571178927842219</c:v>
                </c:pt>
                <c:pt idx="230">
                  <c:v>34.186742020232153</c:v>
                </c:pt>
                <c:pt idx="231">
                  <c:v>33.803377442691485</c:v>
                </c:pt>
                <c:pt idx="232">
                  <c:v>33.421088369403648</c:v>
                </c:pt>
                <c:pt idx="233">
                  <c:v>33.03987786840711</c:v>
                </c:pt>
                <c:pt idx="234">
                  <c:v>32.659748902450936</c:v>
                </c:pt>
                <c:pt idx="235">
                  <c:v>32.280704329853378</c:v>
                </c:pt>
                <c:pt idx="236">
                  <c:v>31.902746905364666</c:v>
                </c:pt>
                <c:pt idx="237">
                  <c:v>31.525879281032495</c:v>
                </c:pt>
                <c:pt idx="238">
                  <c:v>31.150104007070961</c:v>
                </c:pt>
                <c:pt idx="239">
                  <c:v>30.775423532732081</c:v>
                </c:pt>
                <c:pt idx="240">
                  <c:v>30.401840207180229</c:v>
                </c:pt>
                <c:pt idx="241">
                  <c:v>30.029356280368496</c:v>
                </c:pt>
                <c:pt idx="242">
                  <c:v>29.657973903918244</c:v>
                </c:pt>
                <c:pt idx="243">
                  <c:v>29.287695131999254</c:v>
                </c:pt>
                <c:pt idx="244">
                  <c:v>28.918521922213266</c:v>
                </c:pt>
                <c:pt idx="245">
                  <c:v>28.550456136478196</c:v>
                </c:pt>
                <c:pt idx="246">
                  <c:v>28.183499541913996</c:v>
                </c:pt>
                <c:pt idx="247">
                  <c:v>27.817653811729933</c:v>
                </c:pt>
                <c:pt idx="248">
                  <c:v>27.452920526113004</c:v>
                </c:pt>
                <c:pt idx="249">
                  <c:v>27.089301173116922</c:v>
                </c:pt>
                <c:pt idx="250">
                  <c:v>26.726797149552375</c:v>
                </c:pt>
                <c:pt idx="251">
                  <c:v>26.308939265991079</c:v>
                </c:pt>
                <c:pt idx="252">
                  <c:v>25.835877954295494</c:v>
                </c:pt>
                <c:pt idx="253">
                  <c:v>25.364291088337488</c:v>
                </c:pt>
                <c:pt idx="254">
                  <c:v>24.894180738774999</c:v>
                </c:pt>
                <c:pt idx="255">
                  <c:v>24.425548832543889</c:v>
                </c:pt>
                <c:pt idx="256">
                  <c:v>23.958397154357275</c:v>
                </c:pt>
                <c:pt idx="257">
                  <c:v>23.492727348205243</c:v>
                </c:pt>
                <c:pt idx="258">
                  <c:v>23.028540918855477</c:v>
                </c:pt>
                <c:pt idx="259">
                  <c:v>22.565839233353564</c:v>
                </c:pt>
                <c:pt idx="260">
                  <c:v>22.104623522523973</c:v>
                </c:pt>
                <c:pt idx="261">
                  <c:v>21.644894882469657</c:v>
                </c:pt>
                <c:pt idx="262">
                  <c:v>21.18665427607197</c:v>
                </c:pt>
                <c:pt idx="263">
                  <c:v>20.729902534488438</c:v>
                </c:pt>
                <c:pt idx="264">
                  <c:v>20.27464035865011</c:v>
                </c:pt>
                <c:pt idx="265">
                  <c:v>19.820868320756681</c:v>
                </c:pt>
                <c:pt idx="266">
                  <c:v>19.368586865769881</c:v>
                </c:pt>
                <c:pt idx="267">
                  <c:v>18.917796312904642</c:v>
                </c:pt>
                <c:pt idx="268">
                  <c:v>18.468496857117746</c:v>
                </c:pt>
                <c:pt idx="269">
                  <c:v>18.02068857059372</c:v>
                </c:pt>
                <c:pt idx="270">
                  <c:v>17.574371404227655</c:v>
                </c:pt>
                <c:pt idx="271">
                  <c:v>17.12954518910464</c:v>
                </c:pt>
                <c:pt idx="272">
                  <c:v>16.686209637975999</c:v>
                </c:pt>
                <c:pt idx="273">
                  <c:v>16.244364346731203</c:v>
                </c:pt>
                <c:pt idx="274">
                  <c:v>15.804008795866064</c:v>
                </c:pt>
                <c:pt idx="275">
                  <c:v>15.365142351946778</c:v>
                </c:pt>
                <c:pt idx="276">
                  <c:v>14.927764269069023</c:v>
                </c:pt>
                <c:pt idx="277">
                  <c:v>14.491873690312664</c:v>
                </c:pt>
                <c:pt idx="278">
                  <c:v>14.0574696491911</c:v>
                </c:pt>
                <c:pt idx="279">
                  <c:v>13.624551071096407</c:v>
                </c:pt>
                <c:pt idx="280">
                  <c:v>13.193116774737526</c:v>
                </c:pt>
                <c:pt idx="281">
                  <c:v>12.763165473574235</c:v>
                </c:pt>
                <c:pt idx="282">
                  <c:v>12.334695777244681</c:v>
                </c:pt>
                <c:pt idx="283">
                  <c:v>11.907706192986989</c:v>
                </c:pt>
                <c:pt idx="284">
                  <c:v>11.482195127054839</c:v>
                </c:pt>
                <c:pt idx="285">
                  <c:v>11.058160886126503</c:v>
                </c:pt>
                <c:pt idx="286">
                  <c:v>10.635601678707395</c:v>
                </c:pt>
                <c:pt idx="287">
                  <c:v>10.214515616525983</c:v>
                </c:pt>
                <c:pt idx="288">
                  <c:v>9.794900715922795</c:v>
                </c:pt>
                <c:pt idx="289">
                  <c:v>9.376754899232143</c:v>
                </c:pt>
                <c:pt idx="290">
                  <c:v>8.9600759961570855</c:v>
                </c:pt>
                <c:pt idx="291">
                  <c:v>8.5448617451365596</c:v>
                </c:pt>
                <c:pt idx="292">
                  <c:v>8.1311097947053241</c:v>
                </c:pt>
                <c:pt idx="293">
                  <c:v>7.7188177048459821</c:v>
                </c:pt>
                <c:pt idx="294">
                  <c:v>7.3079829483335867</c:v>
                </c:pt>
                <c:pt idx="295">
                  <c:v>6.8986029120718459</c:v>
                </c:pt>
                <c:pt idx="296">
                  <c:v>6.4906748984216609</c:v>
                </c:pt>
                <c:pt idx="297">
                  <c:v>6.0841961265210607</c:v>
                </c:pt>
                <c:pt idx="298">
                  <c:v>5.0548042408116753</c:v>
                </c:pt>
                <c:pt idx="299">
                  <c:v>3.4044749876043632</c:v>
                </c:pt>
                <c:pt idx="300">
                  <c:v>1.7600665101801525</c:v>
                </c:pt>
                <c:pt idx="301">
                  <c:v>0.12159534095848912</c:v>
                </c:pt>
                <c:pt idx="302">
                  <c:v>-1.5109234991019349</c:v>
                </c:pt>
                <c:pt idx="303">
                  <c:v>-3.1374764805630457</c:v>
                </c:pt>
                <c:pt idx="304">
                  <c:v>-4.7580515454772021</c:v>
                </c:pt>
                <c:pt idx="305">
                  <c:v>-6.3726380872799187</c:v>
                </c:pt>
                <c:pt idx="306">
                  <c:v>-7.9812269306156836</c:v>
                </c:pt>
                <c:pt idx="307">
                  <c:v>-9.5838103111100814</c:v>
                </c:pt>
                <c:pt idx="308">
                  <c:v>-11.18038185509832</c:v>
                </c:pt>
                <c:pt idx="309">
                  <c:v>-12.770936559321543</c:v>
                </c:pt>
                <c:pt idx="310">
                  <c:v>-14.355470770602127</c:v>
                </c:pt>
                <c:pt idx="311">
                  <c:v>-15.93398216550743</c:v>
                </c:pt>
                <c:pt idx="312">
                  <c:v>-17.5064697300134</c:v>
                </c:pt>
                <c:pt idx="313">
                  <c:v>-19.072933739177159</c:v>
                </c:pt>
                <c:pt idx="314">
                  <c:v>-20.633375736828704</c:v>
                </c:pt>
                <c:pt idx="315">
                  <c:v>-22.187798515290908</c:v>
                </c:pt>
                <c:pt idx="316">
                  <c:v>-23.736206095137646</c:v>
                </c:pt>
                <c:pt idx="317">
                  <c:v>-25.2786037049976</c:v>
                </c:pt>
                <c:pt idx="318">
                  <c:v>-26.814997761414357</c:v>
                </c:pt>
                <c:pt idx="319">
                  <c:v>-28.345395848769449</c:v>
                </c:pt>
                <c:pt idx="320">
                  <c:v>-29.869806699277667</c:v>
                </c:pt>
                <c:pt idx="321">
                  <c:v>-31.139351285977369</c:v>
                </c:pt>
                <c:pt idx="322">
                  <c:v>-32.155008052877001</c:v>
                </c:pt>
                <c:pt idx="323">
                  <c:v>-33.166754565412205</c:v>
                </c:pt>
                <c:pt idx="324">
                  <c:v>-34.174606386673069</c:v>
                </c:pt>
                <c:pt idx="325">
                  <c:v>-35.178579481994944</c:v>
                </c:pt>
                <c:pt idx="326">
                  <c:v>-36.178690210587519</c:v>
                </c:pt>
                <c:pt idx="327">
                  <c:v>-37.174955317248923</c:v>
                </c:pt>
                <c:pt idx="328">
                  <c:v>-38.167391924166594</c:v>
                </c:pt>
                <c:pt idx="329">
                  <c:v>-39.1560175228052</c:v>
                </c:pt>
                <c:pt idx="330">
                  <c:v>-40.140849965883078</c:v>
                </c:pt>
                <c:pt idx="331">
                  <c:v>-41.121907459437701</c:v>
                </c:pt>
                <c:pt idx="332">
                  <c:v>-42.099208554981942</c:v>
                </c:pt>
                <c:pt idx="333">
                  <c:v>-43.072772141750548</c:v>
                </c:pt>
                <c:pt idx="334">
                  <c:v>-44.042617439038679</c:v>
                </c:pt>
                <c:pt idx="335">
                  <c:v>-45.008763988632893</c:v>
                </c:pt>
                <c:pt idx="336">
                  <c:v>-45.971231647335138</c:v>
                </c:pt>
                <c:pt idx="337">
                  <c:v>-46.930040579579874</c:v>
                </c:pt>
                <c:pt idx="338">
                  <c:v>-47.88521125014622</c:v>
                </c:pt>
                <c:pt idx="339">
                  <c:v>-48.836764416963909</c:v>
                </c:pt>
                <c:pt idx="340">
                  <c:v>-49.784721124014581</c:v>
                </c:pt>
                <c:pt idx="341">
                  <c:v>-50.72910269432888</c:v>
                </c:pt>
                <c:pt idx="342">
                  <c:v>-51.669930723078515</c:v>
                </c:pt>
                <c:pt idx="343">
                  <c:v>-52.607227070765262</c:v>
                </c:pt>
                <c:pt idx="344">
                  <c:v>-53.541013856505565</c:v>
                </c:pt>
                <c:pt idx="345">
                  <c:v>-54.471313451412023</c:v>
                </c:pt>
                <c:pt idx="346">
                  <c:v>-55.398148472071554</c:v>
                </c:pt>
                <c:pt idx="347">
                  <c:v>-56.32154177412017</c:v>
                </c:pt>
                <c:pt idx="348">
                  <c:v>-57.214642500793708</c:v>
                </c:pt>
                <c:pt idx="349">
                  <c:v>-58.077589039430933</c:v>
                </c:pt>
                <c:pt idx="350">
                  <c:v>-58.937396590531698</c:v>
                </c:pt>
                <c:pt idx="351">
                  <c:v>-59.794087978014836</c:v>
                </c:pt>
                <c:pt idx="352">
                  <c:v>-60.647686195544992</c:v>
                </c:pt>
                <c:pt idx="353">
                  <c:v>-61.4982144015258</c:v>
                </c:pt>
                <c:pt idx="354">
                  <c:v>-62.345695914179103</c:v>
                </c:pt>
                <c:pt idx="355">
                  <c:v>-63.190154206710183</c:v>
                </c:pt>
                <c:pt idx="356">
                  <c:v>-64.03161290255801</c:v>
                </c:pt>
                <c:pt idx="357">
                  <c:v>-64.870095770731211</c:v>
                </c:pt>
                <c:pt idx="358">
                  <c:v>-65.705626721228512</c:v>
                </c:pt>
                <c:pt idx="359">
                  <c:v>-66.538229800543931</c:v>
                </c:pt>
                <c:pt idx="360">
                  <c:v>-66.808975164270151</c:v>
                </c:pt>
                <c:pt idx="361">
                  <c:v>-66.520338081947244</c:v>
                </c:pt>
                <c:pt idx="362">
                  <c:v>-66.233717767643441</c:v>
                </c:pt>
                <c:pt idx="363">
                  <c:v>-65.949095342689532</c:v>
                </c:pt>
                <c:pt idx="364">
                  <c:v>-65.666452150022124</c:v>
                </c:pt>
                <c:pt idx="365">
                  <c:v>-65.38576975105849</c:v>
                </c:pt>
                <c:pt idx="366">
                  <c:v>-65.107029922622388</c:v>
                </c:pt>
                <c:pt idx="367">
                  <c:v>-64.83021465392082</c:v>
                </c:pt>
                <c:pt idx="368">
                  <c:v>-64.555306143570121</c:v>
                </c:pt>
                <c:pt idx="369">
                  <c:v>-64.282286796670405</c:v>
                </c:pt>
                <c:pt idx="370">
                  <c:v>-64.01113922192809</c:v>
                </c:pt>
                <c:pt idx="371">
                  <c:v>-63.741846228825167</c:v>
                </c:pt>
                <c:pt idx="372">
                  <c:v>-63.474390824833982</c:v>
                </c:pt>
                <c:pt idx="373">
                  <c:v>-63.208756212677457</c:v>
                </c:pt>
                <c:pt idx="374">
                  <c:v>-62.944925787633629</c:v>
                </c:pt>
                <c:pt idx="375">
                  <c:v>-62.682883134883397</c:v>
                </c:pt>
                <c:pt idx="376">
                  <c:v>-62.422612026900865</c:v>
                </c:pt>
                <c:pt idx="377">
                  <c:v>-62.164096420885699</c:v>
                </c:pt>
                <c:pt idx="378">
                  <c:v>-61.907320456236612</c:v>
                </c:pt>
                <c:pt idx="379">
                  <c:v>-61.65226845206481</c:v>
                </c:pt>
                <c:pt idx="380">
                  <c:v>-61.398924904747474</c:v>
                </c:pt>
                <c:pt idx="381">
                  <c:v>-61.147274485519759</c:v>
                </c:pt>
                <c:pt idx="382">
                  <c:v>-60.897302038105352</c:v>
                </c:pt>
                <c:pt idx="383">
                  <c:v>-60.648992576383932</c:v>
                </c:pt>
                <c:pt idx="384">
                  <c:v>-60.402331282096071</c:v>
                </c:pt>
                <c:pt idx="385">
                  <c:v>-60.157303502583773</c:v>
                </c:pt>
                <c:pt idx="386">
                  <c:v>-59.913894748566733</c:v>
                </c:pt>
                <c:pt idx="387">
                  <c:v>-59.6720906919535</c:v>
                </c:pt>
                <c:pt idx="388">
                  <c:v>-59.431877163686551</c:v>
                </c:pt>
                <c:pt idx="389">
                  <c:v>-59.193240151621268</c:v>
                </c:pt>
                <c:pt idx="390">
                  <c:v>-58.956165798438057</c:v>
                </c:pt>
                <c:pt idx="391">
                  <c:v>-58.720640399586308</c:v>
                </c:pt>
                <c:pt idx="392">
                  <c:v>-58.486650401260945</c:v>
                </c:pt>
                <c:pt idx="393">
                  <c:v>-58.254182398409569</c:v>
                </c:pt>
                <c:pt idx="394">
                  <c:v>-58.023223132770944</c:v>
                </c:pt>
                <c:pt idx="395">
                  <c:v>-57.793759490943295</c:v>
                </c:pt>
                <c:pt idx="396">
                  <c:v>-57.565778502482225</c:v>
                </c:pt>
                <c:pt idx="397">
                  <c:v>-57.339267338028179</c:v>
                </c:pt>
                <c:pt idx="398">
                  <c:v>-57.114213307462123</c:v>
                </c:pt>
                <c:pt idx="399">
                  <c:v>-56.890603858089577</c:v>
                </c:pt>
                <c:pt idx="400">
                  <c:v>-56.668426572852056</c:v>
                </c:pt>
                <c:pt idx="401">
                  <c:v>-56.447669168566144</c:v>
                </c:pt>
                <c:pt idx="402">
                  <c:v>-54.280748493837933</c:v>
                </c:pt>
                <c:pt idx="403">
                  <c:v>-52.248237411225858</c:v>
                </c:pt>
                <c:pt idx="404">
                  <c:v>-50.339137867194879</c:v>
                </c:pt>
                <c:pt idx="405">
                  <c:v>-48.543563269215014</c:v>
                </c:pt>
                <c:pt idx="406">
                  <c:v>-46.852605603087781</c:v>
                </c:pt>
                <c:pt idx="407">
                  <c:v>-45.258220800012452</c:v>
                </c:pt>
                <c:pt idx="408">
                  <c:v>-43.753129534460413</c:v>
                </c:pt>
                <c:pt idx="409">
                  <c:v>-42.330731115830062</c:v>
                </c:pt>
                <c:pt idx="410">
                  <c:v>-40.985028528717649</c:v>
                </c:pt>
                <c:pt idx="411">
                  <c:v>-39.71056299666585</c:v>
                </c:pt>
                <c:pt idx="412">
                  <c:v>-38.50235670669575</c:v>
                </c:pt>
                <c:pt idx="413">
                  <c:v>-37.355862548004609</c:v>
                </c:pt>
                <c:pt idx="414">
                  <c:v>-36.266919896793802</c:v>
                </c:pt>
                <c:pt idx="415">
                  <c:v>-35.231715627327546</c:v>
                </c:pt>
                <c:pt idx="416">
                  <c:v>-34.246749652636808</c:v>
                </c:pt>
                <c:pt idx="417">
                  <c:v>-33.308804401283396</c:v>
                </c:pt>
                <c:pt idx="418">
                  <c:v>-32.414917722913913</c:v>
                </c:pt>
                <c:pt idx="419">
                  <c:v>-31.562358787893814</c:v>
                </c:pt>
                <c:pt idx="420">
                  <c:v>-30.748606607495276</c:v>
                </c:pt>
                <c:pt idx="421">
                  <c:v>-29.971330852854493</c:v>
                </c:pt>
                <c:pt idx="422">
                  <c:v>-29.22837469479596</c:v>
                </c:pt>
                <c:pt idx="423">
                  <c:v>-28.517739423938259</c:v>
                </c:pt>
                <c:pt idx="424">
                  <c:v>-27.837570642315175</c:v>
                </c:pt>
                <c:pt idx="425">
                  <c:v>-27.18614584494658</c:v>
                </c:pt>
                <c:pt idx="426">
                  <c:v>-26.561863233103821</c:v>
                </c:pt>
                <c:pt idx="427">
                  <c:v>-25.963231621038062</c:v>
                </c:pt>
                <c:pt idx="428">
                  <c:v>-25.388861315181934</c:v>
                </c:pt>
                <c:pt idx="429">
                  <c:v>-24.837455859713355</c:v>
                </c:pt>
                <c:pt idx="430">
                  <c:v>-24.307804555238601</c:v>
                </c:pt>
                <c:pt idx="431">
                  <c:v>-23.798775668504369</c:v>
                </c:pt>
                <c:pt idx="432">
                  <c:v>-23.309310260734684</c:v>
                </c:pt>
                <c:pt idx="433">
                  <c:v>-22.838416570616594</c:v>
                </c:pt>
                <c:pt idx="434">
                  <c:v>-22.385164895308492</c:v>
                </c:pt>
                <c:pt idx="435">
                  <c:v>-21.94868291926338</c:v>
                </c:pt>
                <c:pt idx="436">
                  <c:v>-21.528151446278109</c:v>
                </c:pt>
                <c:pt idx="437">
                  <c:v>-21.122800495104116</c:v>
                </c:pt>
                <c:pt idx="438">
                  <c:v>-20.731905723280462</c:v>
                </c:pt>
                <c:pt idx="439">
                  <c:v>-20.354785147654095</c:v>
                </c:pt>
                <c:pt idx="440">
                  <c:v>-19.990796133404416</c:v>
                </c:pt>
                <c:pt idx="441">
                  <c:v>-19.639332626346516</c:v>
                </c:pt>
                <c:pt idx="442">
                  <c:v>-19.29982260590149</c:v>
                </c:pt>
                <c:pt idx="443">
                  <c:v>-18.97172573843547</c:v>
                </c:pt>
                <c:pt idx="444">
                  <c:v>-18.654531212718723</c:v>
                </c:pt>
                <c:pt idx="445">
                  <c:v>-18.347755741075741</c:v>
                </c:pt>
                <c:pt idx="446">
                  <c:v>-18.050941711413444</c:v>
                </c:pt>
                <c:pt idx="447">
                  <c:v>-17.763655476752493</c:v>
                </c:pt>
                <c:pt idx="448">
                  <c:v>-17.485485770167394</c:v>
                </c:pt>
                <c:pt idx="449">
                  <c:v>-17.216042234182392</c:v>
                </c:pt>
                <c:pt idx="450">
                  <c:v>-16.95495405468904</c:v>
                </c:pt>
                <c:pt idx="451">
                  <c:v>-16.701868690360705</c:v>
                </c:pt>
                <c:pt idx="452">
                  <c:v>-16.456450689352348</c:v>
                </c:pt>
                <c:pt idx="453">
                  <c:v>-16.218380585800659</c:v>
                </c:pt>
                <c:pt idx="454">
                  <c:v>-15.987353869289649</c:v>
                </c:pt>
                <c:pt idx="455">
                  <c:v>-15.763080021028507</c:v>
                </c:pt>
                <c:pt idx="456">
                  <c:v>-15.545281611008633</c:v>
                </c:pt>
                <c:pt idx="457">
                  <c:v>-15.333693450871774</c:v>
                </c:pt>
                <c:pt idx="458">
                  <c:v>-15.128061797636954</c:v>
                </c:pt>
                <c:pt idx="459">
                  <c:v>-14.928143603804497</c:v>
                </c:pt>
                <c:pt idx="460">
                  <c:v>-14.733705809685713</c:v>
                </c:pt>
                <c:pt idx="461">
                  <c:v>-14.54452467410033</c:v>
                </c:pt>
                <c:pt idx="462">
                  <c:v>-14.360385139843446</c:v>
                </c:pt>
                <c:pt idx="463">
                  <c:v>-14.181080230552659</c:v>
                </c:pt>
                <c:pt idx="464">
                  <c:v>-14.006410475806636</c:v>
                </c:pt>
                <c:pt idx="465">
                  <c:v>-13.836183361460371</c:v>
                </c:pt>
                <c:pt idx="466">
                  <c:v>-13.670212802371925</c:v>
                </c:pt>
                <c:pt idx="467">
                  <c:v>-13.508318634801846</c:v>
                </c:pt>
                <c:pt idx="468">
                  <c:v>-13.350326125870831</c:v>
                </c:pt>
                <c:pt idx="469">
                  <c:v>-13.196065497544907</c:v>
                </c:pt>
                <c:pt idx="470">
                  <c:v>-13.045371462680778</c:v>
                </c:pt>
                <c:pt idx="471">
                  <c:v>-12.898082770708017</c:v>
                </c:pt>
                <c:pt idx="472">
                  <c:v>-12.754041760549631</c:v>
                </c:pt>
                <c:pt idx="473">
                  <c:v>-12.613093918388609</c:v>
                </c:pt>
                <c:pt idx="474">
                  <c:v>-12.475087437875434</c:v>
                </c:pt>
                <c:pt idx="475">
                  <c:v>-12.33987278034024</c:v>
                </c:pt>
                <c:pt idx="476">
                  <c:v>-12.207302232523093</c:v>
                </c:pt>
                <c:pt idx="477">
                  <c:v>-12.077229459266945</c:v>
                </c:pt>
                <c:pt idx="478">
                  <c:v>-11.949509048529533</c:v>
                </c:pt>
                <c:pt idx="479">
                  <c:v>-11.823996045962918</c:v>
                </c:pt>
                <c:pt idx="480">
                  <c:v>-11.700545476182482</c:v>
                </c:pt>
                <c:pt idx="481">
                  <c:v>-11.579011847700718</c:v>
                </c:pt>
                <c:pt idx="482">
                  <c:v>-11.459248638335612</c:v>
                </c:pt>
                <c:pt idx="483">
                  <c:v>-11.341107757719318</c:v>
                </c:pt>
                <c:pt idx="484">
                  <c:v>-11.224438983331416</c:v>
                </c:pt>
                <c:pt idx="485">
                  <c:v>-11.109089366264055</c:v>
                </c:pt>
                <c:pt idx="486">
                  <c:v>-10.994902602696833</c:v>
                </c:pt>
                <c:pt idx="487">
                  <c:v>-10.881718366821344</c:v>
                </c:pt>
                <c:pt idx="488">
                  <c:v>-10.769371600715235</c:v>
                </c:pt>
                <c:pt idx="489">
                  <c:v>-10.657691756431365</c:v>
                </c:pt>
                <c:pt idx="490">
                  <c:v>-10.546501985351183</c:v>
                </c:pt>
                <c:pt idx="491">
                  <c:v>-10.43561826966741</c:v>
                </c:pt>
                <c:pt idx="492">
                  <c:v>-10.324848490730673</c:v>
                </c:pt>
                <c:pt idx="493">
                  <c:v>-10.213991428944142</c:v>
                </c:pt>
                <c:pt idx="494">
                  <c:v>-10.102835689954915</c:v>
                </c:pt>
                <c:pt idx="495">
                  <c:v>-9.9911585521160706</c:v>
                </c:pt>
                <c:pt idx="496">
                  <c:v>-9.8787247306371579</c:v>
                </c:pt>
                <c:pt idx="497">
                  <c:v>-9.7652850545779319</c:v>
                </c:pt>
                <c:pt idx="498">
                  <c:v>-9.6505750539642285</c:v>
                </c:pt>
                <c:pt idx="499">
                  <c:v>-9.5343134559343241</c:v>
                </c:pt>
                <c:pt idx="500">
                  <c:v>-9.4162005911064384</c:v>
                </c:pt>
                <c:pt idx="501">
                  <c:v>-9.2959167144751937</c:v>
                </c:pt>
                <c:pt idx="502">
                  <c:v>-9.173120249320128</c:v>
                </c:pt>
                <c:pt idx="503">
                  <c:v>-9.0474459681122035</c:v>
                </c:pt>
                <c:pt idx="504">
                  <c:v>-8.9185031315565872</c:v>
                </c:pt>
                <c:pt idx="505">
                  <c:v>-8.7858736160893063</c:v>
                </c:pt>
                <c:pt idx="506">
                  <c:v>-8.6491100717845679</c:v>
                </c:pt>
                <c:pt idx="507">
                  <c:v>-8.507734167211515</c:v>
                </c:pt>
                <c:pt idx="508">
                  <c:v>-8.3612349958209968</c:v>
                </c:pt>
                <c:pt idx="509">
                  <c:v>-8.2090677404648513</c:v>
                </c:pt>
                <c:pt idx="510">
                  <c:v>-8.0506527191251251</c:v>
                </c:pt>
                <c:pt idx="511">
                  <c:v>-7.8853749662002155</c:v>
                </c:pt>
                <c:pt idx="512">
                  <c:v>-7.7125845398476907</c:v>
                </c:pt>
                <c:pt idx="513">
                  <c:v>-7.5315977865787973</c:v>
                </c:pt>
                <c:pt idx="514">
                  <c:v>-7.3416998385276528</c:v>
                </c:pt>
                <c:pt idx="515">
                  <c:v>-7.1421486645888104</c:v>
                </c:pt>
                <c:pt idx="516">
                  <c:v>-6.932181040577519</c:v>
                </c:pt>
                <c:pt idx="517">
                  <c:v>-6.7110208405684268</c:v>
                </c:pt>
                <c:pt idx="518">
                  <c:v>-6.477890074225801</c:v>
                </c:pt>
                <c:pt idx="519">
                  <c:v>-6.2320230932821206</c:v>
                </c:pt>
                <c:pt idx="520">
                  <c:v>-5.9726843516882866</c:v>
                </c:pt>
                <c:pt idx="521">
                  <c:v>-5.6991900133454436</c:v>
                </c:pt>
                <c:pt idx="522">
                  <c:v>-5.4109335425066334</c:v>
                </c:pt>
                <c:pt idx="523">
                  <c:v>-5.1074151696410794</c:v>
                </c:pt>
                <c:pt idx="524">
                  <c:v>-4.788274789024987</c:v>
                </c:pt>
                <c:pt idx="525">
                  <c:v>-4.4533274122676296</c:v>
                </c:pt>
                <c:pt idx="526">
                  <c:v>-4.1025997886104131</c:v>
                </c:pt>
                <c:pt idx="527">
                  <c:v>-3.7363662439744201</c:v>
                </c:pt>
                <c:pt idx="528">
                  <c:v>-3.3551812481865619</c:v>
                </c:pt>
                <c:pt idx="529">
                  <c:v>-2.9599057814465275</c:v>
                </c:pt>
                <c:pt idx="530">
                  <c:v>-2.5517243437931798</c:v>
                </c:pt>
                <c:pt idx="531">
                  <c:v>-2.1321495448952845</c:v>
                </c:pt>
                <c:pt idx="532">
                  <c:v>-1.7030117137336855</c:v>
                </c:pt>
                <c:pt idx="533">
                  <c:v>-1.2664319146325032</c:v>
                </c:pt>
                <c:pt idx="534">
                  <c:v>-0.82477810491030001</c:v>
                </c:pt>
                <c:pt idx="535">
                  <c:v>-0.38060578527771921</c:v>
                </c:pt>
                <c:pt idx="536">
                  <c:v>6.3413840681674161E-2</c:v>
                </c:pt>
                <c:pt idx="537">
                  <c:v>0.50457373171589814</c:v>
                </c:pt>
                <c:pt idx="538">
                  <c:v>0.9402134530324624</c:v>
                </c:pt>
                <c:pt idx="539">
                  <c:v>1.367798427568353</c:v>
                </c:pt>
                <c:pt idx="540">
                  <c:v>1.7849906132530813</c:v>
                </c:pt>
                <c:pt idx="541">
                  <c:v>2.1897062583183864</c:v>
                </c:pt>
                <c:pt idx="542">
                  <c:v>2.5801578710779962</c:v>
                </c:pt>
                <c:pt idx="543">
                  <c:v>2.9548792173112011</c:v>
                </c:pt>
                <c:pt idx="544">
                  <c:v>3.312733763857282</c:v>
                </c:pt>
                <c:pt idx="545">
                  <c:v>3.6529083085792626</c:v>
                </c:pt>
                <c:pt idx="546">
                  <c:v>3.9748944467184972</c:v>
                </c:pt>
                <c:pt idx="547">
                  <c:v>4.2784609863939647</c:v>
                </c:pt>
                <c:pt idx="548">
                  <c:v>4.5636204835176679</c:v>
                </c:pt>
                <c:pt idx="549">
                  <c:v>4.8305928103237603</c:v>
                </c:pt>
                <c:pt idx="550">
                  <c:v>5.079768213457438</c:v>
                </c:pt>
                <c:pt idx="551">
                  <c:v>5.3116717638370199</c:v>
                </c:pt>
                <c:pt idx="552">
                  <c:v>5.5269305377932936</c:v>
                </c:pt>
                <c:pt idx="553">
                  <c:v>5.7262443572183415</c:v>
                </c:pt>
                <c:pt idx="554">
                  <c:v>5.9103604895047566</c:v>
                </c:pt>
                <c:pt idx="555">
                  <c:v>6.0800523784535887</c:v>
                </c:pt>
                <c:pt idx="556">
                  <c:v>6.2361022424981831</c:v>
                </c:pt>
                <c:pt idx="557">
                  <c:v>6.379287224903659</c:v>
                </c:pt>
                <c:pt idx="558">
                  <c:v>6.5103686962865819</c:v>
                </c:pt>
                <c:pt idx="559">
                  <c:v>6.6300842764003978</c:v>
                </c:pt>
                <c:pt idx="560">
                  <c:v>6.739142144610466</c:v>
                </c:pt>
                <c:pt idx="561">
                  <c:v>6.8382172342550227</c:v>
                </c:pt>
                <c:pt idx="562">
                  <c:v>6.9279489453258414</c:v>
                </c:pt>
                <c:pt idx="563">
                  <c:v>7.0089400553806085</c:v>
                </c:pt>
                <c:pt idx="564">
                  <c:v>7.0817565553262671</c:v>
                </c:pt>
                <c:pt idx="565">
                  <c:v>7.1469281814756132</c:v>
                </c:pt>
                <c:pt idx="566">
                  <c:v>7.2049494562058731</c:v>
                </c:pt>
                <c:pt idx="567">
                  <c:v>7.2562810857220734</c:v>
                </c:pt>
                <c:pt idx="568">
                  <c:v>7.3013515945812326</c:v>
                </c:pt>
                <c:pt idx="569">
                  <c:v>7.3405591029081565</c:v>
                </c:pt>
                <c:pt idx="570">
                  <c:v>7.3742731740106739</c:v>
                </c:pt>
                <c:pt idx="571">
                  <c:v>7.4028366778808428</c:v>
                </c:pt>
                <c:pt idx="572">
                  <c:v>7.4265676303875683</c:v>
                </c:pt>
                <c:pt idx="573">
                  <c:v>7.4457609793533877</c:v>
                </c:pt>
                <c:pt idx="574">
                  <c:v>7.4606903176533566</c:v>
                </c:pt>
                <c:pt idx="575">
                  <c:v>7.4716095104131508</c:v>
                </c:pt>
                <c:pt idx="576">
                  <c:v>7.4787542286951814</c:v>
                </c:pt>
                <c:pt idx="577">
                  <c:v>7.4823433860670594</c:v>
                </c:pt>
                <c:pt idx="578">
                  <c:v>7.4825804774143334</c:v>
                </c:pt>
                <c:pt idx="579">
                  <c:v>7.4796548215106302</c:v>
                </c:pt>
                <c:pt idx="580">
                  <c:v>7.4737427103727123</c:v>
                </c:pt>
                <c:pt idx="581">
                  <c:v>7.4650084694515346</c:v>
                </c:pt>
                <c:pt idx="582">
                  <c:v>7.4536054333588249</c:v>
                </c:pt>
                <c:pt idx="583">
                  <c:v>7.4396768421943644</c:v>
                </c:pt>
                <c:pt idx="584">
                  <c:v>7.4233566636949169</c:v>
                </c:pt>
                <c:pt idx="585">
                  <c:v>7.4047703464276342</c:v>
                </c:pt>
                <c:pt idx="586">
                  <c:v>7.3840355091434891</c:v>
                </c:pt>
                <c:pt idx="587">
                  <c:v>7.3612625712231017</c:v>
                </c:pt>
                <c:pt idx="588">
                  <c:v>7.3365553289142431</c:v>
                </c:pt>
                <c:pt idx="589">
                  <c:v>7.3100114817967663</c:v>
                </c:pt>
                <c:pt idx="590">
                  <c:v>7.2817231136310969</c:v>
                </c:pt>
                <c:pt idx="591">
                  <c:v>7.2517771314615267</c:v>
                </c:pt>
                <c:pt idx="592">
                  <c:v>7.2202556665628723</c:v>
                </c:pt>
                <c:pt idx="593">
                  <c:v>7.1872364405441402</c:v>
                </c:pt>
                <c:pt idx="594">
                  <c:v>7.1527930996591857</c:v>
                </c:pt>
                <c:pt idx="595">
                  <c:v>7.1169955201244637</c:v>
                </c:pt>
                <c:pt idx="596">
                  <c:v>7.0799100870089138</c:v>
                </c:pt>
                <c:pt idx="597">
                  <c:v>7.0415999490417924</c:v>
                </c:pt>
                <c:pt idx="598">
                  <c:v>7.0021252514806349</c:v>
                </c:pt>
                <c:pt idx="599">
                  <c:v>6.961543348993402</c:v>
                </c:pt>
                <c:pt idx="600">
                  <c:v>6.9199090003356165</c:v>
                </c:pt>
                <c:pt idx="601">
                  <c:v>6.8772745464444176</c:v>
                </c:pt>
                <c:pt idx="602">
                  <c:v>6.8336900734257222</c:v>
                </c:pt>
                <c:pt idx="603">
                  <c:v>6.7892035617778017</c:v>
                </c:pt>
                <c:pt idx="604">
                  <c:v>6.7438610230731104</c:v>
                </c:pt>
                <c:pt idx="605">
                  <c:v>6.6977066252097899</c:v>
                </c:pt>
                <c:pt idx="606">
                  <c:v>6.6507828072434396</c:v>
                </c:pt>
                <c:pt idx="607">
                  <c:v>6.6031303847185132</c:v>
                </c:pt>
                <c:pt idx="608">
                  <c:v>6.5547886463353482</c:v>
                </c:pt>
                <c:pt idx="609">
                  <c:v>6.5057954427134401</c:v>
                </c:pt>
                <c:pt idx="610">
                  <c:v>6.4561872679429992</c:v>
                </c:pt>
                <c:pt idx="611">
                  <c:v>6.4059993345545685</c:v>
                </c:pt>
                <c:pt idx="612">
                  <c:v>6.3552656424800311</c:v>
                </c:pt>
                <c:pt idx="613">
                  <c:v>6.3040190425270453</c:v>
                </c:pt>
                <c:pt idx="614">
                  <c:v>6.2522912948423937</c:v>
                </c:pt>
                <c:pt idx="615">
                  <c:v>6.200113122797589</c:v>
                </c:pt>
                <c:pt idx="616">
                  <c:v>6.1475142626915691</c:v>
                </c:pt>
                <c:pt idx="617">
                  <c:v>6.0945235096305961</c:v>
                </c:pt>
                <c:pt idx="618">
                  <c:v>6.0411687599138242</c:v>
                </c:pt>
                <c:pt idx="619">
                  <c:v>5.9874770502241601</c:v>
                </c:pt>
                <c:pt idx="620">
                  <c:v>5.9334745938979516</c:v>
                </c:pt>
                <c:pt idx="621">
                  <c:v>5.8791868145233153</c:v>
                </c:pt>
                <c:pt idx="622">
                  <c:v>5.8246383770951109</c:v>
                </c:pt>
                <c:pt idx="623">
                  <c:v>5.7698532169350738</c:v>
                </c:pt>
                <c:pt idx="624">
                  <c:v>5.714854566567559</c:v>
                </c:pt>
                <c:pt idx="625">
                  <c:v>5.6596649807249744</c:v>
                </c:pt>
                <c:pt idx="626">
                  <c:v>5.6043063596422567</c:v>
                </c:pt>
                <c:pt idx="627">
                  <c:v>5.5487999707859554</c:v>
                </c:pt>
                <c:pt idx="628">
                  <c:v>5.4931664691511886</c:v>
                </c:pt>
                <c:pt idx="629">
                  <c:v>5.4374259162484533</c:v>
                </c:pt>
                <c:pt idx="630">
                  <c:v>5.3815977978918488</c:v>
                </c:pt>
                <c:pt idx="631">
                  <c:v>5.3257010408908636</c:v>
                </c:pt>
                <c:pt idx="632">
                  <c:v>5.2697540287392393</c:v>
                </c:pt>
                <c:pt idx="633">
                  <c:v>5.2137746163865453</c:v>
                </c:pt>
                <c:pt idx="634">
                  <c:v>5.1577801441707773</c:v>
                </c:pt>
                <c:pt idx="635">
                  <c:v>5.1017874509838199</c:v>
                </c:pt>
                <c:pt idx="636">
                  <c:v>5.0458128867353693</c:v>
                </c:pt>
                <c:pt idx="637">
                  <c:v>4.9898723241755212</c:v>
                </c:pt>
                <c:pt idx="638">
                  <c:v>4.9339811701310587</c:v>
                </c:pt>
                <c:pt idx="639">
                  <c:v>4.8781543762056963</c:v>
                </c:pt>
                <c:pt idx="640">
                  <c:v>4.8224064489905336</c:v>
                </c:pt>
                <c:pt idx="641">
                  <c:v>4.7667514598267164</c:v>
                </c:pt>
                <c:pt idx="642">
                  <c:v>4.7112030541588901</c:v>
                </c:pt>
                <c:pt idx="643">
                  <c:v>4.6557744605146523</c:v>
                </c:pt>
                <c:pt idx="644">
                  <c:v>4.6004784991422163</c:v>
                </c:pt>
                <c:pt idx="645">
                  <c:v>4.5453275903355674</c:v>
                </c:pt>
                <c:pt idx="646">
                  <c:v>4.4903337624739823</c:v>
                </c:pt>
                <c:pt idx="647">
                  <c:v>4.4355086598003535</c:v>
                </c:pt>
                <c:pt idx="648">
                  <c:v>4.3808635499604982</c:v>
                </c:pt>
                <c:pt idx="649">
                  <c:v>4.3264093313238314</c:v>
                </c:pt>
                <c:pt idx="650">
                  <c:v>4.2721565401037687</c:v>
                </c:pt>
                <c:pt idx="651">
                  <c:v>4.2181153572946135</c:v>
                </c:pt>
                <c:pt idx="652">
                  <c:v>4.1642956154401585</c:v>
                </c:pt>
                <c:pt idx="653">
                  <c:v>4.11070680524774</c:v>
                </c:pt>
                <c:pt idx="654">
                  <c:v>4.0573580820602473</c:v>
                </c:pt>
                <c:pt idx="655">
                  <c:v>4.0042582721973146</c:v>
                </c:pt>
                <c:pt idx="656">
                  <c:v>3.9514158791759142</c:v>
                </c:pt>
                <c:pt idx="657">
                  <c:v>3.8988390898194254</c:v>
                </c:pt>
                <c:pt idx="658">
                  <c:v>3.8465357802634825</c:v>
                </c:pt>
                <c:pt idx="659">
                  <c:v>3.7945135218659303</c:v>
                </c:pt>
                <c:pt idx="660">
                  <c:v>3.7427795870274565</c:v>
                </c:pt>
                <c:pt idx="661">
                  <c:v>3.691340954928843</c:v>
                </c:pt>
                <c:pt idx="662">
                  <c:v>3.6402043171899994</c:v>
                </c:pt>
                <c:pt idx="663">
                  <c:v>3.5893760834554103</c:v>
                </c:pt>
                <c:pt idx="664">
                  <c:v>3.538862386910119</c:v>
                </c:pt>
                <c:pt idx="665">
                  <c:v>3.4886690897298021</c:v>
                </c:pt>
                <c:pt idx="666">
                  <c:v>3.4388017884680266</c:v>
                </c:pt>
                <c:pt idx="667">
                  <c:v>3.3892658193834624</c:v>
                </c:pt>
                <c:pt idx="668">
                  <c:v>3.3400662637093639</c:v>
                </c:pt>
                <c:pt idx="669">
                  <c:v>3.2912079528673379</c:v>
                </c:pt>
                <c:pt idx="670">
                  <c:v>3.2426954736270224</c:v>
                </c:pt>
                <c:pt idx="671">
                  <c:v>3.1945331732132312</c:v>
                </c:pt>
                <c:pt idx="672">
                  <c:v>3.1467251643615466</c:v>
                </c:pt>
                <c:pt idx="673">
                  <c:v>3.0992753303234615</c:v>
                </c:pt>
                <c:pt idx="674">
                  <c:v>3.0521873298217175</c:v>
                </c:pt>
                <c:pt idx="675">
                  <c:v>3.0054646019564002</c:v>
                </c:pt>
                <c:pt idx="676">
                  <c:v>2.9591103710622644</c:v>
                </c:pt>
                <c:pt idx="677">
                  <c:v>2.9131276515174216</c:v>
                </c:pt>
                <c:pt idx="678">
                  <c:v>2.8675192525036381</c:v>
                </c:pt>
                <c:pt idx="679">
                  <c:v>2.8222877827182202</c:v>
                </c:pt>
                <c:pt idx="680">
                  <c:v>2.7774356550373769</c:v>
                </c:pt>
                <c:pt idx="681">
                  <c:v>2.7329650911309722</c:v>
                </c:pt>
                <c:pt idx="682">
                  <c:v>2.6888781260284329</c:v>
                </c:pt>
                <c:pt idx="683">
                  <c:v>2.6451766126354617</c:v>
                </c:pt>
                <c:pt idx="684">
                  <c:v>2.6018622262013267</c:v>
                </c:pt>
                <c:pt idx="685">
                  <c:v>2.558936468736297</c:v>
                </c:pt>
                <c:pt idx="686">
                  <c:v>2.5164006733788415</c:v>
                </c:pt>
                <c:pt idx="687">
                  <c:v>2.4742560087121461</c:v>
                </c:pt>
                <c:pt idx="688">
                  <c:v>2.4325034830295893</c:v>
                </c:pt>
                <c:pt idx="689">
                  <c:v>2.3911439485485957</c:v>
                </c:pt>
                <c:pt idx="690">
                  <c:v>2.3501781055725921</c:v>
                </c:pt>
                <c:pt idx="691">
                  <c:v>2.3096065066004527</c:v>
                </c:pt>
                <c:pt idx="692">
                  <c:v>2.2694295603830579</c:v>
                </c:pt>
                <c:pt idx="693">
                  <c:v>2.2296475359265893</c:v>
                </c:pt>
                <c:pt idx="694">
                  <c:v>2.1902605664420554</c:v>
                </c:pt>
                <c:pt idx="695">
                  <c:v>2.1512686532406686</c:v>
                </c:pt>
                <c:pt idx="696">
                  <c:v>2.1126716695747136</c:v>
                </c:pt>
                <c:pt idx="697">
                  <c:v>2.074469364423571</c:v>
                </c:pt>
                <c:pt idx="698">
                  <c:v>2.0366613662244735</c:v>
                </c:pt>
                <c:pt idx="699">
                  <c:v>1.9992471865478025</c:v>
                </c:pt>
                <c:pt idx="700">
                  <c:v>1.9622262237165105</c:v>
                </c:pt>
                <c:pt idx="701">
                  <c:v>1.9255977663696031</c:v>
                </c:pt>
                <c:pt idx="702">
                  <c:v>1.8893609969692529</c:v>
                </c:pt>
                <c:pt idx="703">
                  <c:v>1.8535149952515289</c:v>
                </c:pt>
                <c:pt idx="704">
                  <c:v>1.8180587416204936</c:v>
                </c:pt>
                <c:pt idx="705">
                  <c:v>1.7829911204855717</c:v>
                </c:pt>
                <c:pt idx="706">
                  <c:v>1.7483109235421335</c:v>
                </c:pt>
                <c:pt idx="707">
                  <c:v>1.7140168529951492</c:v>
                </c:pt>
                <c:pt idx="708">
                  <c:v>1.680107524726024</c:v>
                </c:pt>
                <c:pt idx="709">
                  <c:v>1.6465814714024916</c:v>
                </c:pt>
                <c:pt idx="710">
                  <c:v>1.613437145531714</c:v>
                </c:pt>
                <c:pt idx="711">
                  <c:v>1.580672922456607</c:v>
                </c:pt>
                <c:pt idx="712">
                  <c:v>1.5482871032954932</c:v>
                </c:pt>
                <c:pt idx="713">
                  <c:v>1.5162779178253043</c:v>
                </c:pt>
                <c:pt idx="714">
                  <c:v>1.4846435273083944</c:v>
                </c:pt>
                <c:pt idx="715">
                  <c:v>1.4533820272632489</c:v>
                </c:pt>
                <c:pt idx="716">
                  <c:v>1.4224914501792991</c:v>
                </c:pt>
                <c:pt idx="717">
                  <c:v>1.3919697681760663</c:v>
                </c:pt>
                <c:pt idx="718">
                  <c:v>1.3618148956069955</c:v>
                </c:pt>
                <c:pt idx="719">
                  <c:v>1.332024691608229</c:v>
                </c:pt>
                <c:pt idx="720">
                  <c:v>1.3025969625927001</c:v>
                </c:pt>
                <c:pt idx="721">
                  <c:v>1.273529464689922</c:v>
                </c:pt>
                <c:pt idx="722">
                  <c:v>1.2448199061318199</c:v>
                </c:pt>
                <c:pt idx="723">
                  <c:v>1.2164659495850589</c:v>
                </c:pt>
                <c:pt idx="724">
                  <c:v>1.1884652144303267</c:v>
                </c:pt>
                <c:pt idx="725">
                  <c:v>1.160815278988963</c:v>
                </c:pt>
                <c:pt idx="726">
                  <c:v>1.1335136826974672</c:v>
                </c:pt>
                <c:pt idx="727">
                  <c:v>1.1065579282304228</c:v>
                </c:pt>
                <c:pt idx="728">
                  <c:v>1.0799454835722013</c:v>
                </c:pt>
                <c:pt idx="729">
                  <c:v>1.0536737840382102</c:v>
                </c:pt>
                <c:pt idx="730">
                  <c:v>1.0277402342460125</c:v>
                </c:pt>
                <c:pt idx="731">
                  <c:v>1.0021422100370536</c:v>
                </c:pt>
                <c:pt idx="732">
                  <c:v>0.97687706034947475</c:v>
                </c:pt>
                <c:pt idx="733">
                  <c:v>0.95194210904266008</c:v>
                </c:pt>
                <c:pt idx="734">
                  <c:v>0.92733465667411785</c:v>
                </c:pt>
                <c:pt idx="735">
                  <c:v>0.90305198222927707</c:v>
                </c:pt>
                <c:pt idx="736">
                  <c:v>0.87909134480489115</c:v>
                </c:pt>
                <c:pt idx="737">
                  <c:v>0.8554499852466364</c:v>
                </c:pt>
                <c:pt idx="738">
                  <c:v>0.83212512774158931</c:v>
                </c:pt>
                <c:pt idx="739">
                  <c:v>0.80911398136621138</c:v>
                </c:pt>
                <c:pt idx="740">
                  <c:v>0.78641374159052901</c:v>
                </c:pt>
                <c:pt idx="741">
                  <c:v>0.76402159173916573</c:v>
                </c:pt>
                <c:pt idx="742">
                  <c:v>0.7419347044098803</c:v>
                </c:pt>
                <c:pt idx="743">
                  <c:v>0.72015024285036411</c:v>
                </c:pt>
                <c:pt idx="744">
                  <c:v>0.69866536229388743</c:v>
                </c:pt>
                <c:pt idx="745">
                  <c:v>0.67747721125454774</c:v>
                </c:pt>
                <c:pt idx="746">
                  <c:v>0.65658293278278812</c:v>
                </c:pt>
                <c:pt idx="747">
                  <c:v>0.63597966568186948</c:v>
                </c:pt>
                <c:pt idx="748">
                  <c:v>0.61566454568599838</c:v>
                </c:pt>
                <c:pt idx="749">
                  <c:v>0.59563470660085649</c:v>
                </c:pt>
                <c:pt idx="750">
                  <c:v>0.57588728140708412</c:v>
                </c:pt>
                <c:pt idx="751">
                  <c:v>0.55641940332754025</c:v>
                </c:pt>
                <c:pt idx="752">
                  <c:v>0.53722820685904615</c:v>
                </c:pt>
                <c:pt idx="753">
                  <c:v>0.51831082876915957</c:v>
                </c:pt>
                <c:pt idx="754">
                  <c:v>0.49966440905880027</c:v>
                </c:pt>
                <c:pt idx="755">
                  <c:v>0.48128609189136995</c:v>
                </c:pt>
                <c:pt idx="756">
                  <c:v>0.46317302648902192</c:v>
                </c:pt>
                <c:pt idx="757">
                  <c:v>0.44532236799681435</c:v>
                </c:pt>
                <c:pt idx="758">
                  <c:v>0.4277312783153473</c:v>
                </c:pt>
                <c:pt idx="759">
                  <c:v>0.41039692690264928</c:v>
                </c:pt>
                <c:pt idx="760">
                  <c:v>0.39331649154587467</c:v>
                </c:pt>
                <c:pt idx="761">
                  <c:v>0.37648715910354014</c:v>
                </c:pt>
                <c:pt idx="762">
                  <c:v>0.3599061262189629</c:v>
                </c:pt>
                <c:pt idx="763">
                  <c:v>0.34357060000546369</c:v>
                </c:pt>
                <c:pt idx="764">
                  <c:v>0.32747779870411087</c:v>
                </c:pt>
                <c:pt idx="765">
                  <c:v>0.31162495231447984</c:v>
                </c:pt>
                <c:pt idx="766">
                  <c:v>0.29600930319923791</c:v>
                </c:pt>
                <c:pt idx="767">
                  <c:v>0.28062810666300031</c:v>
                </c:pt>
                <c:pt idx="768">
                  <c:v>0.26547863150621787</c:v>
                </c:pt>
                <c:pt idx="769">
                  <c:v>0.25055816055459523</c:v>
                </c:pt>
                <c:pt idx="770">
                  <c:v>0.23586399116472734</c:v>
                </c:pt>
                <c:pt idx="771">
                  <c:v>0.22139343570645842</c:v>
                </c:pt>
                <c:pt idx="772">
                  <c:v>0.20714382202266535</c:v>
                </c:pt>
                <c:pt idx="773">
                  <c:v>0.19311249386692531</c:v>
                </c:pt>
                <c:pt idx="774">
                  <c:v>0.17929681131966113</c:v>
                </c:pt>
                <c:pt idx="775">
                  <c:v>0.16569415118342867</c:v>
                </c:pt>
                <c:pt idx="776">
                  <c:v>0.15230190735775651</c:v>
                </c:pt>
                <c:pt idx="777">
                  <c:v>0.13911749119416505</c:v>
                </c:pt>
                <c:pt idx="778">
                  <c:v>0.12613833183188028</c:v>
                </c:pt>
                <c:pt idx="779">
                  <c:v>0.1133618765147677</c:v>
                </c:pt>
                <c:pt idx="780">
                  <c:v>0.10078559089000549</c:v>
                </c:pt>
                <c:pt idx="781">
                  <c:v>8.8406959289017095E-2</c:v>
                </c:pt>
                <c:pt idx="782">
                  <c:v>7.6223484991126966E-2</c:v>
                </c:pt>
                <c:pt idx="783">
                  <c:v>6.4232690470513276E-2</c:v>
                </c:pt>
                <c:pt idx="784">
                  <c:v>5.243211762680744E-2</c:v>
                </c:pt>
                <c:pt idx="785">
                  <c:v>4.0819327999964017E-2</c:v>
                </c:pt>
                <c:pt idx="786">
                  <c:v>2.9391902969793549E-2</c:v>
                </c:pt>
                <c:pt idx="787">
                  <c:v>1.8147443940543795E-2</c:v>
                </c:pt>
                <c:pt idx="788">
                  <c:v>7.0835725111599857E-3</c:v>
                </c:pt>
                <c:pt idx="789">
                  <c:v>-3.8020693685130169E-3</c:v>
                </c:pt>
                <c:pt idx="790">
                  <c:v>-1.4511819255064395E-2</c:v>
                </c:pt>
                <c:pt idx="791">
                  <c:v>-2.5047994081999647E-2</c:v>
                </c:pt>
                <c:pt idx="792">
                  <c:v>-3.541289004288295E-2</c:v>
                </c:pt>
                <c:pt idx="793">
                  <c:v>-4.5608782486880273E-2</c:v>
                </c:pt>
                <c:pt idx="794">
                  <c:v>-5.5637925826173884E-2</c:v>
                </c:pt>
                <c:pt idx="795">
                  <c:v>-6.5502553454864554E-2</c:v>
                </c:pt>
                <c:pt idx="796">
                  <c:v>-7.5204877679119875E-2</c:v>
                </c:pt>
                <c:pt idx="797">
                  <c:v>-8.4747089657991381E-2</c:v>
                </c:pt>
                <c:pt idx="798">
                  <c:v>-9.4131359354728161E-2</c:v>
                </c:pt>
                <c:pt idx="799">
                  <c:v>-0.10335983549808958</c:v>
                </c:pt>
                <c:pt idx="800">
                  <c:v>-0.11243464555339777</c:v>
                </c:pt>
                <c:pt idx="801">
                  <c:v>-0.11244356344183437</c:v>
                </c:pt>
                <c:pt idx="802">
                  <c:v>-0.11245248118128792</c:v>
                </c:pt>
                <c:pt idx="803">
                  <c:v>-0.11246139877174777</c:v>
                </c:pt>
                <c:pt idx="804">
                  <c:v>-0.112470316213237</c:v>
                </c:pt>
                <c:pt idx="805">
                  <c:v>-0.11247923350574673</c:v>
                </c:pt>
                <c:pt idx="806">
                  <c:v>-0.1124881506492823</c:v>
                </c:pt>
                <c:pt idx="807">
                  <c:v>-0.11249706764383482</c:v>
                </c:pt>
                <c:pt idx="808">
                  <c:v>-0.11250598448942029</c:v>
                </c:pt>
                <c:pt idx="809">
                  <c:v>-0.11251490118603336</c:v>
                </c:pt>
                <c:pt idx="810">
                  <c:v>-0.11252381773369002</c:v>
                </c:pt>
                <c:pt idx="811">
                  <c:v>-0.11253273413237252</c:v>
                </c:pt>
                <c:pt idx="812">
                  <c:v>-0.11254165038208797</c:v>
                </c:pt>
                <c:pt idx="813">
                  <c:v>-0.11255056648285056</c:v>
                </c:pt>
                <c:pt idx="814">
                  <c:v>-0.11255948243464253</c:v>
                </c:pt>
                <c:pt idx="815">
                  <c:v>-0.11256839823747988</c:v>
                </c:pt>
                <c:pt idx="816">
                  <c:v>-0.11257731389136616</c:v>
                </c:pt>
                <c:pt idx="817">
                  <c:v>-0.11258622939629781</c:v>
                </c:pt>
                <c:pt idx="818">
                  <c:v>-0.11259514475227128</c:v>
                </c:pt>
                <c:pt idx="819">
                  <c:v>-0.11260405995930789</c:v>
                </c:pt>
                <c:pt idx="820">
                  <c:v>-0.11261297501738454</c:v>
                </c:pt>
                <c:pt idx="821">
                  <c:v>-0.11262188992652078</c:v>
                </c:pt>
                <c:pt idx="822">
                  <c:v>-0.1126308046867095</c:v>
                </c:pt>
                <c:pt idx="823">
                  <c:v>-0.11263971929796845</c:v>
                </c:pt>
                <c:pt idx="824">
                  <c:v>-0.11264863376027456</c:v>
                </c:pt>
                <c:pt idx="825">
                  <c:v>-0.11265754807365091</c:v>
                </c:pt>
                <c:pt idx="826">
                  <c:v>-0.11266646223809218</c:v>
                </c:pt>
                <c:pt idx="827">
                  <c:v>-0.11267537625359658</c:v>
                </c:pt>
                <c:pt idx="828">
                  <c:v>-0.112684290120173</c:v>
                </c:pt>
                <c:pt idx="829">
                  <c:v>-0.11269320383781256</c:v>
                </c:pt>
                <c:pt idx="830">
                  <c:v>-0.11270211740653302</c:v>
                </c:pt>
                <c:pt idx="831">
                  <c:v>-0.1127110308263326</c:v>
                </c:pt>
                <c:pt idx="832">
                  <c:v>-0.11271994409719532</c:v>
                </c:pt>
                <c:pt idx="833">
                  <c:v>-0.11272885721914427</c:v>
                </c:pt>
                <c:pt idx="834">
                  <c:v>-0.11273777019217412</c:v>
                </c:pt>
                <c:pt idx="835">
                  <c:v>-0.11274668301629021</c:v>
                </c:pt>
                <c:pt idx="836">
                  <c:v>-0.11275559569148719</c:v>
                </c:pt>
                <c:pt idx="837">
                  <c:v>-0.1127645082177775</c:v>
                </c:pt>
                <c:pt idx="838">
                  <c:v>-0.11277342059515405</c:v>
                </c:pt>
                <c:pt idx="839">
                  <c:v>-0.11278233282361505</c:v>
                </c:pt>
                <c:pt idx="840">
                  <c:v>-0.11279124490317471</c:v>
                </c:pt>
                <c:pt idx="841">
                  <c:v>-0.11280015683383127</c:v>
                </c:pt>
                <c:pt idx="842">
                  <c:v>-0.11280906861558115</c:v>
                </c:pt>
                <c:pt idx="843">
                  <c:v>-0.11281798024843148</c:v>
                </c:pt>
                <c:pt idx="844">
                  <c:v>-0.1128268917323858</c:v>
                </c:pt>
                <c:pt idx="845">
                  <c:v>-0.11283580306744589</c:v>
                </c:pt>
                <c:pt idx="846">
                  <c:v>-0.1128447142536082</c:v>
                </c:pt>
                <c:pt idx="847">
                  <c:v>-0.1128536252908745</c:v>
                </c:pt>
                <c:pt idx="848">
                  <c:v>-0.11286253617925546</c:v>
                </c:pt>
                <c:pt idx="849">
                  <c:v>-0.11287144691875106</c:v>
                </c:pt>
                <c:pt idx="850">
                  <c:v>-0.11288035750935599</c:v>
                </c:pt>
                <c:pt idx="851">
                  <c:v>-0.11288926795107734</c:v>
                </c:pt>
                <c:pt idx="852">
                  <c:v>-0.11289817824391868</c:v>
                </c:pt>
                <c:pt idx="853">
                  <c:v>-0.11290708838787644</c:v>
                </c:pt>
                <c:pt idx="854">
                  <c:v>-0.11291599838295596</c:v>
                </c:pt>
                <c:pt idx="855">
                  <c:v>-0.11292490822916079</c:v>
                </c:pt>
                <c:pt idx="856">
                  <c:v>-0.11293381792649271</c:v>
                </c:pt>
                <c:pt idx="857">
                  <c:v>-0.11294272747495171</c:v>
                </c:pt>
                <c:pt idx="858">
                  <c:v>-0.1129516368745378</c:v>
                </c:pt>
                <c:pt idx="859">
                  <c:v>-0.11296054612525452</c:v>
                </c:pt>
                <c:pt idx="860">
                  <c:v>-0.1129694552271161</c:v>
                </c:pt>
                <c:pt idx="861">
                  <c:v>-0.11297836418010299</c:v>
                </c:pt>
                <c:pt idx="862">
                  <c:v>-0.1129872729842365</c:v>
                </c:pt>
                <c:pt idx="863">
                  <c:v>-0.11299618163950775</c:v>
                </c:pt>
                <c:pt idx="864">
                  <c:v>-0.11300509014591853</c:v>
                </c:pt>
                <c:pt idx="865">
                  <c:v>-0.11301399850347416</c:v>
                </c:pt>
                <c:pt idx="866">
                  <c:v>-0.11302290671217818</c:v>
                </c:pt>
                <c:pt idx="867">
                  <c:v>-0.11303181477202884</c:v>
                </c:pt>
                <c:pt idx="868">
                  <c:v>-0.11304072268302789</c:v>
                </c:pt>
                <c:pt idx="869">
                  <c:v>-0.11304963044518601</c:v>
                </c:pt>
                <c:pt idx="870">
                  <c:v>-0.11305853805849431</c:v>
                </c:pt>
                <c:pt idx="871">
                  <c:v>-0.11306744552295811</c:v>
                </c:pt>
                <c:pt idx="872">
                  <c:v>-0.11307635283858275</c:v>
                </c:pt>
                <c:pt idx="873">
                  <c:v>-0.11308526000536645</c:v>
                </c:pt>
                <c:pt idx="874">
                  <c:v>-0.11309416702331809</c:v>
                </c:pt>
                <c:pt idx="875">
                  <c:v>-0.11310307389243057</c:v>
                </c:pt>
                <c:pt idx="876">
                  <c:v>-0.11311198061270922</c:v>
                </c:pt>
                <c:pt idx="877">
                  <c:v>-0.11312088718415758</c:v>
                </c:pt>
                <c:pt idx="878">
                  <c:v>-0.11312979360677744</c:v>
                </c:pt>
                <c:pt idx="879">
                  <c:v>-0.11313869988056879</c:v>
                </c:pt>
                <c:pt idx="880">
                  <c:v>-0.11314760600553875</c:v>
                </c:pt>
                <c:pt idx="881">
                  <c:v>-0.11315651198167842</c:v>
                </c:pt>
                <c:pt idx="882">
                  <c:v>-0.11316541780900558</c:v>
                </c:pt>
                <c:pt idx="883">
                  <c:v>-0.11317432348750955</c:v>
                </c:pt>
                <c:pt idx="884">
                  <c:v>-0.11318322901719213</c:v>
                </c:pt>
                <c:pt idx="885">
                  <c:v>-0.11319213439806575</c:v>
                </c:pt>
                <c:pt idx="886">
                  <c:v>-0.11320103963012684</c:v>
                </c:pt>
                <c:pt idx="887">
                  <c:v>-0.11320994471337542</c:v>
                </c:pt>
                <c:pt idx="888">
                  <c:v>-0.11321884964781859</c:v>
                </c:pt>
                <c:pt idx="889">
                  <c:v>-0.11322775443344568</c:v>
                </c:pt>
                <c:pt idx="890">
                  <c:v>-0.11323665907027625</c:v>
                </c:pt>
                <c:pt idx="891">
                  <c:v>-0.11324556355831028</c:v>
                </c:pt>
                <c:pt idx="892">
                  <c:v>-0.11325446789753357</c:v>
                </c:pt>
                <c:pt idx="893">
                  <c:v>-0.11326337208796211</c:v>
                </c:pt>
                <c:pt idx="894">
                  <c:v>-0.11327227612958879</c:v>
                </c:pt>
                <c:pt idx="895">
                  <c:v>-0.11328118002242782</c:v>
                </c:pt>
                <c:pt idx="896">
                  <c:v>-0.11329008376647209</c:v>
                </c:pt>
                <c:pt idx="897">
                  <c:v>-0.11329898736172339</c:v>
                </c:pt>
                <c:pt idx="898">
                  <c:v>-0.11330789080819414</c:v>
                </c:pt>
                <c:pt idx="899">
                  <c:v>-0.11331679410587192</c:v>
                </c:pt>
                <c:pt idx="900">
                  <c:v>-0.11332569725476382</c:v>
                </c:pt>
                <c:pt idx="901">
                  <c:v>-0.11333460025487874</c:v>
                </c:pt>
                <c:pt idx="902">
                  <c:v>-0.11334350310621488</c:v>
                </c:pt>
                <c:pt idx="903">
                  <c:v>-0.11335240580876871</c:v>
                </c:pt>
                <c:pt idx="904">
                  <c:v>-0.11336130836254554</c:v>
                </c:pt>
                <c:pt idx="905">
                  <c:v>-0.11337021076755072</c:v>
                </c:pt>
                <c:pt idx="906">
                  <c:v>-0.11337911302378423</c:v>
                </c:pt>
                <c:pt idx="907">
                  <c:v>-0.11338801513125141</c:v>
                </c:pt>
                <c:pt idx="908">
                  <c:v>-0.11339691708994337</c:v>
                </c:pt>
                <c:pt idx="909">
                  <c:v>-0.11340581889987611</c:v>
                </c:pt>
                <c:pt idx="910">
                  <c:v>-0.11341472056104251</c:v>
                </c:pt>
                <c:pt idx="911">
                  <c:v>-0.11342362207344969</c:v>
                </c:pt>
                <c:pt idx="912">
                  <c:v>-0.11343252343709054</c:v>
                </c:pt>
                <c:pt idx="913">
                  <c:v>-0.11344142465197748</c:v>
                </c:pt>
                <c:pt idx="914">
                  <c:v>-0.11345032571810876</c:v>
                </c:pt>
                <c:pt idx="915">
                  <c:v>-0.11345922663548613</c:v>
                </c:pt>
                <c:pt idx="916">
                  <c:v>-0.11346812740411316</c:v>
                </c:pt>
                <c:pt idx="917">
                  <c:v>-0.11347702802398807</c:v>
                </c:pt>
                <c:pt idx="918">
                  <c:v>-0.11348592849511796</c:v>
                </c:pt>
                <c:pt idx="919">
                  <c:v>-0.11349482881750461</c:v>
                </c:pt>
                <c:pt idx="920">
                  <c:v>-0.11350372899114625</c:v>
                </c:pt>
                <c:pt idx="921">
                  <c:v>-0.11351262901604109</c:v>
                </c:pt>
                <c:pt idx="922">
                  <c:v>-0.1135215288921998</c:v>
                </c:pt>
                <c:pt idx="923">
                  <c:v>-0.11353042861962415</c:v>
                </c:pt>
                <c:pt idx="924">
                  <c:v>-0.11353932819830881</c:v>
                </c:pt>
                <c:pt idx="925">
                  <c:v>-0.11354822762826977</c:v>
                </c:pt>
                <c:pt idx="926">
                  <c:v>-0.11355712690949282</c:v>
                </c:pt>
                <c:pt idx="927">
                  <c:v>-0.11356602604198329</c:v>
                </c:pt>
                <c:pt idx="928">
                  <c:v>-0.11357492502574829</c:v>
                </c:pt>
                <c:pt idx="929">
                  <c:v>-0.11358382386079491</c:v>
                </c:pt>
                <c:pt idx="930">
                  <c:v>-0.11359272254711783</c:v>
                </c:pt>
                <c:pt idx="931">
                  <c:v>-0.11360162108471528</c:v>
                </c:pt>
                <c:pt idx="932">
                  <c:v>-0.11361051947359435</c:v>
                </c:pt>
                <c:pt idx="933">
                  <c:v>-0.11361941771375506</c:v>
                </c:pt>
                <c:pt idx="934">
                  <c:v>-0.11362831580520449</c:v>
                </c:pt>
                <c:pt idx="935">
                  <c:v>-0.11363721374793911</c:v>
                </c:pt>
                <c:pt idx="936">
                  <c:v>-0.11364611154196425</c:v>
                </c:pt>
                <c:pt idx="937">
                  <c:v>-0.11365500918728522</c:v>
                </c:pt>
                <c:pt idx="938">
                  <c:v>-0.11366390668388959</c:v>
                </c:pt>
                <c:pt idx="939">
                  <c:v>-0.11367280403180047</c:v>
                </c:pt>
                <c:pt idx="940">
                  <c:v>-0.11368170123100008</c:v>
                </c:pt>
                <c:pt idx="941">
                  <c:v>-0.11369059828150441</c:v>
                </c:pt>
                <c:pt idx="942">
                  <c:v>-0.11369949518330813</c:v>
                </c:pt>
                <c:pt idx="943">
                  <c:v>-0.11370839193641302</c:v>
                </c:pt>
                <c:pt idx="944">
                  <c:v>-0.11371728854082441</c:v>
                </c:pt>
                <c:pt idx="945">
                  <c:v>-0.11372618499654763</c:v>
                </c:pt>
                <c:pt idx="946">
                  <c:v>-0.11373508130357379</c:v>
                </c:pt>
                <c:pt idx="947">
                  <c:v>-0.11374397746191356</c:v>
                </c:pt>
                <c:pt idx="948">
                  <c:v>-0.11375287347157403</c:v>
                </c:pt>
                <c:pt idx="949">
                  <c:v>-0.11376176933253923</c:v>
                </c:pt>
                <c:pt idx="950">
                  <c:v>-0.11377066504483047</c:v>
                </c:pt>
                <c:pt idx="951">
                  <c:v>-0.11377956060843886</c:v>
                </c:pt>
                <c:pt idx="952">
                  <c:v>-0.11378845602336973</c:v>
                </c:pt>
                <c:pt idx="953">
                  <c:v>-0.11379735128962665</c:v>
                </c:pt>
                <c:pt idx="954">
                  <c:v>-0.11380624640720427</c:v>
                </c:pt>
                <c:pt idx="955">
                  <c:v>-0.11381514137611148</c:v>
                </c:pt>
                <c:pt idx="956">
                  <c:v>-0.11382403619635362</c:v>
                </c:pt>
                <c:pt idx="957">
                  <c:v>-0.11383293086792889</c:v>
                </c:pt>
                <c:pt idx="958">
                  <c:v>-0.11384182539083021</c:v>
                </c:pt>
                <c:pt idx="959">
                  <c:v>-0.11385071976506822</c:v>
                </c:pt>
                <c:pt idx="960">
                  <c:v>-0.11385961399064826</c:v>
                </c:pt>
                <c:pt idx="961">
                  <c:v>-0.11386850806756854</c:v>
                </c:pt>
                <c:pt idx="962">
                  <c:v>-0.11387740199583263</c:v>
                </c:pt>
                <c:pt idx="963">
                  <c:v>-0.11388629577543874</c:v>
                </c:pt>
                <c:pt idx="964">
                  <c:v>-0.11389518940639221</c:v>
                </c:pt>
                <c:pt idx="965">
                  <c:v>-0.11390408288869658</c:v>
                </c:pt>
                <c:pt idx="966">
                  <c:v>-0.11391297622235363</c:v>
                </c:pt>
                <c:pt idx="967">
                  <c:v>-0.11392186940735982</c:v>
                </c:pt>
                <c:pt idx="968">
                  <c:v>-0.11393076244371692</c:v>
                </c:pt>
                <c:pt idx="969">
                  <c:v>-0.1139396553314338</c:v>
                </c:pt>
                <c:pt idx="970">
                  <c:v>-0.11394854807050692</c:v>
                </c:pt>
                <c:pt idx="971">
                  <c:v>-0.1139574406609416</c:v>
                </c:pt>
                <c:pt idx="972">
                  <c:v>-0.1139663331027414</c:v>
                </c:pt>
                <c:pt idx="973">
                  <c:v>-0.11397522539590099</c:v>
                </c:pt>
                <c:pt idx="974">
                  <c:v>-0.11398411754043281</c:v>
                </c:pt>
                <c:pt idx="975">
                  <c:v>-0.11399300953632618</c:v>
                </c:pt>
                <c:pt idx="976">
                  <c:v>-0.11400190138359889</c:v>
                </c:pt>
                <c:pt idx="977">
                  <c:v>-0.11401079308224027</c:v>
                </c:pt>
                <c:pt idx="978">
                  <c:v>-0.11401968463225742</c:v>
                </c:pt>
                <c:pt idx="979">
                  <c:v>-0.11402857603365391</c:v>
                </c:pt>
                <c:pt idx="980">
                  <c:v>-0.11403746728642439</c:v>
                </c:pt>
                <c:pt idx="981">
                  <c:v>-0.11404635839057775</c:v>
                </c:pt>
                <c:pt idx="982">
                  <c:v>-0.11405524934611577</c:v>
                </c:pt>
                <c:pt idx="983">
                  <c:v>-0.11406414015303845</c:v>
                </c:pt>
                <c:pt idx="984">
                  <c:v>-0.11407303081135467</c:v>
                </c:pt>
                <c:pt idx="985">
                  <c:v>-0.11408192132104844</c:v>
                </c:pt>
                <c:pt idx="986">
                  <c:v>-0.11409081168214108</c:v>
                </c:pt>
                <c:pt idx="987">
                  <c:v>-0.11409970189462193</c:v>
                </c:pt>
                <c:pt idx="988">
                  <c:v>-0.11410859195850342</c:v>
                </c:pt>
                <c:pt idx="989">
                  <c:v>-0.11411748187378024</c:v>
                </c:pt>
                <c:pt idx="990">
                  <c:v>-0.11412637164045591</c:v>
                </c:pt>
                <c:pt idx="991">
                  <c:v>-0.11413526125853046</c:v>
                </c:pt>
                <c:pt idx="992">
                  <c:v>-0.11414415072801454</c:v>
                </c:pt>
                <c:pt idx="993">
                  <c:v>-0.11415304004890281</c:v>
                </c:pt>
                <c:pt idx="994">
                  <c:v>-0.11416192922119706</c:v>
                </c:pt>
                <c:pt idx="995">
                  <c:v>-0.11417081824490083</c:v>
                </c:pt>
                <c:pt idx="996">
                  <c:v>-0.11417970712001768</c:v>
                </c:pt>
                <c:pt idx="997">
                  <c:v>-0.11418859584654051</c:v>
                </c:pt>
                <c:pt idx="998">
                  <c:v>-0.11419748442448885</c:v>
                </c:pt>
                <c:pt idx="999">
                  <c:v>-0.11420637285385027</c:v>
                </c:pt>
                <c:pt idx="1000">
                  <c:v>-0.11421526113463365</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35.900000000000198</c:v>
                </c:pt>
                <c:pt idx="720">
                  <c:v>36.000000000000199</c:v>
                </c:pt>
                <c:pt idx="721">
                  <c:v>36.1000000000002</c:v>
                </c:pt>
                <c:pt idx="722">
                  <c:v>36.200000000000202</c:v>
                </c:pt>
                <c:pt idx="723">
                  <c:v>36.300000000000203</c:v>
                </c:pt>
                <c:pt idx="724">
                  <c:v>36.400000000000205</c:v>
                </c:pt>
                <c:pt idx="725">
                  <c:v>36.500000000000206</c:v>
                </c:pt>
                <c:pt idx="726">
                  <c:v>36.600000000000207</c:v>
                </c:pt>
                <c:pt idx="727">
                  <c:v>36.700000000000209</c:v>
                </c:pt>
                <c:pt idx="728">
                  <c:v>36.80000000000021</c:v>
                </c:pt>
                <c:pt idx="729">
                  <c:v>36.900000000000212</c:v>
                </c:pt>
                <c:pt idx="730">
                  <c:v>37.000000000000213</c:v>
                </c:pt>
                <c:pt idx="731">
                  <c:v>37.100000000000215</c:v>
                </c:pt>
                <c:pt idx="732">
                  <c:v>37.200000000000216</c:v>
                </c:pt>
                <c:pt idx="733">
                  <c:v>37.300000000000217</c:v>
                </c:pt>
                <c:pt idx="734">
                  <c:v>37.400000000000219</c:v>
                </c:pt>
                <c:pt idx="735">
                  <c:v>37.50000000000022</c:v>
                </c:pt>
                <c:pt idx="736">
                  <c:v>37.600000000000222</c:v>
                </c:pt>
                <c:pt idx="737">
                  <c:v>37.700000000000223</c:v>
                </c:pt>
                <c:pt idx="738">
                  <c:v>37.800000000000225</c:v>
                </c:pt>
                <c:pt idx="739">
                  <c:v>37.900000000000226</c:v>
                </c:pt>
                <c:pt idx="740">
                  <c:v>38.000000000000227</c:v>
                </c:pt>
                <c:pt idx="741">
                  <c:v>38.100000000000229</c:v>
                </c:pt>
                <c:pt idx="742">
                  <c:v>38.20000000000023</c:v>
                </c:pt>
                <c:pt idx="743">
                  <c:v>38.300000000000232</c:v>
                </c:pt>
                <c:pt idx="744">
                  <c:v>38.400000000000233</c:v>
                </c:pt>
                <c:pt idx="745">
                  <c:v>38.500000000000234</c:v>
                </c:pt>
                <c:pt idx="746">
                  <c:v>38.600000000000236</c:v>
                </c:pt>
                <c:pt idx="747">
                  <c:v>38.700000000000237</c:v>
                </c:pt>
                <c:pt idx="748">
                  <c:v>38.800000000000239</c:v>
                </c:pt>
                <c:pt idx="749">
                  <c:v>38.90000000000024</c:v>
                </c:pt>
                <c:pt idx="750">
                  <c:v>39.000000000000242</c:v>
                </c:pt>
                <c:pt idx="751">
                  <c:v>39.100000000000243</c:v>
                </c:pt>
                <c:pt idx="752">
                  <c:v>39.200000000000244</c:v>
                </c:pt>
                <c:pt idx="753">
                  <c:v>39.300000000000246</c:v>
                </c:pt>
                <c:pt idx="754">
                  <c:v>39.400000000000247</c:v>
                </c:pt>
                <c:pt idx="755">
                  <c:v>39.500000000000249</c:v>
                </c:pt>
                <c:pt idx="756">
                  <c:v>39.60000000000025</c:v>
                </c:pt>
                <c:pt idx="757">
                  <c:v>39.700000000000252</c:v>
                </c:pt>
                <c:pt idx="758">
                  <c:v>39.800000000000253</c:v>
                </c:pt>
                <c:pt idx="759">
                  <c:v>39.900000000000254</c:v>
                </c:pt>
                <c:pt idx="760">
                  <c:v>40.000000000000256</c:v>
                </c:pt>
                <c:pt idx="761">
                  <c:v>40.100000000000257</c:v>
                </c:pt>
                <c:pt idx="762">
                  <c:v>40.200000000000259</c:v>
                </c:pt>
                <c:pt idx="763">
                  <c:v>40.30000000000026</c:v>
                </c:pt>
                <c:pt idx="764">
                  <c:v>40.400000000000261</c:v>
                </c:pt>
                <c:pt idx="765">
                  <c:v>40.500000000000263</c:v>
                </c:pt>
                <c:pt idx="766">
                  <c:v>40.600000000000264</c:v>
                </c:pt>
                <c:pt idx="767">
                  <c:v>40.700000000000266</c:v>
                </c:pt>
                <c:pt idx="768">
                  <c:v>40.800000000000267</c:v>
                </c:pt>
                <c:pt idx="769">
                  <c:v>40.900000000000269</c:v>
                </c:pt>
                <c:pt idx="770">
                  <c:v>41.00000000000027</c:v>
                </c:pt>
                <c:pt idx="771">
                  <c:v>41.100000000000271</c:v>
                </c:pt>
                <c:pt idx="772">
                  <c:v>41.200000000000273</c:v>
                </c:pt>
                <c:pt idx="773">
                  <c:v>41.300000000000274</c:v>
                </c:pt>
                <c:pt idx="774">
                  <c:v>41.400000000000276</c:v>
                </c:pt>
                <c:pt idx="775">
                  <c:v>41.500000000000277</c:v>
                </c:pt>
                <c:pt idx="776">
                  <c:v>41.600000000000279</c:v>
                </c:pt>
                <c:pt idx="777">
                  <c:v>41.70000000000028</c:v>
                </c:pt>
                <c:pt idx="778">
                  <c:v>41.800000000000281</c:v>
                </c:pt>
                <c:pt idx="779">
                  <c:v>41.900000000000283</c:v>
                </c:pt>
                <c:pt idx="780">
                  <c:v>42.000000000000284</c:v>
                </c:pt>
                <c:pt idx="781">
                  <c:v>42.100000000000286</c:v>
                </c:pt>
                <c:pt idx="782">
                  <c:v>42.200000000000287</c:v>
                </c:pt>
                <c:pt idx="783">
                  <c:v>42.300000000000288</c:v>
                </c:pt>
                <c:pt idx="784">
                  <c:v>42.40000000000029</c:v>
                </c:pt>
                <c:pt idx="785">
                  <c:v>42.500000000000291</c:v>
                </c:pt>
                <c:pt idx="786">
                  <c:v>42.600000000000293</c:v>
                </c:pt>
                <c:pt idx="787">
                  <c:v>42.700000000000294</c:v>
                </c:pt>
                <c:pt idx="788">
                  <c:v>42.800000000000296</c:v>
                </c:pt>
                <c:pt idx="789">
                  <c:v>42.900000000000297</c:v>
                </c:pt>
                <c:pt idx="790">
                  <c:v>43.000000000000298</c:v>
                </c:pt>
                <c:pt idx="791">
                  <c:v>43.1000000000003</c:v>
                </c:pt>
                <c:pt idx="792">
                  <c:v>43.200000000000301</c:v>
                </c:pt>
                <c:pt idx="793">
                  <c:v>43.300000000000303</c:v>
                </c:pt>
                <c:pt idx="794">
                  <c:v>43.400000000000304</c:v>
                </c:pt>
                <c:pt idx="795">
                  <c:v>43.500000000000306</c:v>
                </c:pt>
                <c:pt idx="796">
                  <c:v>43.600000000000307</c:v>
                </c:pt>
                <c:pt idx="797">
                  <c:v>43.700000000000308</c:v>
                </c:pt>
                <c:pt idx="798">
                  <c:v>43.80000000000031</c:v>
                </c:pt>
                <c:pt idx="799">
                  <c:v>43.900000000000311</c:v>
                </c:pt>
                <c:pt idx="800">
                  <c:v>43.900100000000315</c:v>
                </c:pt>
                <c:pt idx="801">
                  <c:v>43.900200000000318</c:v>
                </c:pt>
                <c:pt idx="802">
                  <c:v>43.900300000000321</c:v>
                </c:pt>
                <c:pt idx="803">
                  <c:v>43.900400000000324</c:v>
                </c:pt>
                <c:pt idx="804">
                  <c:v>43.900500000000328</c:v>
                </c:pt>
                <c:pt idx="805">
                  <c:v>43.900600000000331</c:v>
                </c:pt>
                <c:pt idx="806">
                  <c:v>43.900700000000334</c:v>
                </c:pt>
                <c:pt idx="807">
                  <c:v>43.900800000000338</c:v>
                </c:pt>
                <c:pt idx="808">
                  <c:v>43.900900000000341</c:v>
                </c:pt>
                <c:pt idx="809">
                  <c:v>43.901000000000344</c:v>
                </c:pt>
                <c:pt idx="810">
                  <c:v>43.901100000000348</c:v>
                </c:pt>
                <c:pt idx="811">
                  <c:v>43.901200000000351</c:v>
                </c:pt>
                <c:pt idx="812">
                  <c:v>43.901300000000354</c:v>
                </c:pt>
                <c:pt idx="813">
                  <c:v>43.901400000000358</c:v>
                </c:pt>
                <c:pt idx="814">
                  <c:v>43.901500000000361</c:v>
                </c:pt>
                <c:pt idx="815">
                  <c:v>43.901600000000364</c:v>
                </c:pt>
                <c:pt idx="816">
                  <c:v>43.901700000000368</c:v>
                </c:pt>
                <c:pt idx="817">
                  <c:v>43.901800000000371</c:v>
                </c:pt>
                <c:pt idx="818">
                  <c:v>43.901900000000374</c:v>
                </c:pt>
                <c:pt idx="819">
                  <c:v>43.902000000000378</c:v>
                </c:pt>
                <c:pt idx="820">
                  <c:v>43.902100000000381</c:v>
                </c:pt>
                <c:pt idx="821">
                  <c:v>43.902200000000384</c:v>
                </c:pt>
                <c:pt idx="822">
                  <c:v>43.902300000000388</c:v>
                </c:pt>
                <c:pt idx="823">
                  <c:v>43.902400000000391</c:v>
                </c:pt>
                <c:pt idx="824">
                  <c:v>43.902500000000394</c:v>
                </c:pt>
                <c:pt idx="825">
                  <c:v>43.902600000000398</c:v>
                </c:pt>
                <c:pt idx="826">
                  <c:v>43.902700000000401</c:v>
                </c:pt>
                <c:pt idx="827">
                  <c:v>43.902800000000404</c:v>
                </c:pt>
                <c:pt idx="828">
                  <c:v>43.902900000000407</c:v>
                </c:pt>
                <c:pt idx="829">
                  <c:v>43.903000000000411</c:v>
                </c:pt>
                <c:pt idx="830">
                  <c:v>43.903100000000414</c:v>
                </c:pt>
                <c:pt idx="831">
                  <c:v>43.903200000000417</c:v>
                </c:pt>
                <c:pt idx="832">
                  <c:v>43.903300000000421</c:v>
                </c:pt>
                <c:pt idx="833">
                  <c:v>43.903400000000424</c:v>
                </c:pt>
                <c:pt idx="834">
                  <c:v>43.903500000000427</c:v>
                </c:pt>
                <c:pt idx="835">
                  <c:v>43.903600000000431</c:v>
                </c:pt>
                <c:pt idx="836">
                  <c:v>43.903700000000434</c:v>
                </c:pt>
                <c:pt idx="837">
                  <c:v>43.903800000000437</c:v>
                </c:pt>
                <c:pt idx="838">
                  <c:v>43.903900000000441</c:v>
                </c:pt>
                <c:pt idx="839">
                  <c:v>43.904000000000444</c:v>
                </c:pt>
                <c:pt idx="840">
                  <c:v>43.904100000000447</c:v>
                </c:pt>
                <c:pt idx="841">
                  <c:v>43.904200000000451</c:v>
                </c:pt>
                <c:pt idx="842">
                  <c:v>43.904300000000454</c:v>
                </c:pt>
                <c:pt idx="843">
                  <c:v>43.904400000000457</c:v>
                </c:pt>
                <c:pt idx="844">
                  <c:v>43.904500000000461</c:v>
                </c:pt>
                <c:pt idx="845">
                  <c:v>43.904600000000464</c:v>
                </c:pt>
                <c:pt idx="846">
                  <c:v>43.904700000000467</c:v>
                </c:pt>
                <c:pt idx="847">
                  <c:v>43.904800000000471</c:v>
                </c:pt>
                <c:pt idx="848">
                  <c:v>43.904900000000474</c:v>
                </c:pt>
                <c:pt idx="849">
                  <c:v>43.905000000000477</c:v>
                </c:pt>
                <c:pt idx="850">
                  <c:v>43.905100000000481</c:v>
                </c:pt>
                <c:pt idx="851">
                  <c:v>43.905200000000484</c:v>
                </c:pt>
                <c:pt idx="852">
                  <c:v>43.905300000000487</c:v>
                </c:pt>
                <c:pt idx="853">
                  <c:v>43.90540000000049</c:v>
                </c:pt>
                <c:pt idx="854">
                  <c:v>43.905500000000494</c:v>
                </c:pt>
                <c:pt idx="855">
                  <c:v>43.905600000000497</c:v>
                </c:pt>
                <c:pt idx="856">
                  <c:v>43.9057000000005</c:v>
                </c:pt>
                <c:pt idx="857">
                  <c:v>43.905800000000504</c:v>
                </c:pt>
                <c:pt idx="858">
                  <c:v>43.905900000000507</c:v>
                </c:pt>
                <c:pt idx="859">
                  <c:v>43.90600000000051</c:v>
                </c:pt>
                <c:pt idx="860">
                  <c:v>43.906100000000514</c:v>
                </c:pt>
                <c:pt idx="861">
                  <c:v>43.906200000000517</c:v>
                </c:pt>
                <c:pt idx="862">
                  <c:v>43.90630000000052</c:v>
                </c:pt>
                <c:pt idx="863">
                  <c:v>43.906400000000524</c:v>
                </c:pt>
                <c:pt idx="864">
                  <c:v>43.906500000000527</c:v>
                </c:pt>
                <c:pt idx="865">
                  <c:v>43.90660000000053</c:v>
                </c:pt>
                <c:pt idx="866">
                  <c:v>43.906700000000534</c:v>
                </c:pt>
                <c:pt idx="867">
                  <c:v>43.906800000000537</c:v>
                </c:pt>
                <c:pt idx="868">
                  <c:v>43.90690000000054</c:v>
                </c:pt>
                <c:pt idx="869">
                  <c:v>43.907000000000544</c:v>
                </c:pt>
                <c:pt idx="870">
                  <c:v>43.907100000000547</c:v>
                </c:pt>
                <c:pt idx="871">
                  <c:v>43.90720000000055</c:v>
                </c:pt>
                <c:pt idx="872">
                  <c:v>43.907300000000554</c:v>
                </c:pt>
                <c:pt idx="873">
                  <c:v>43.907400000000557</c:v>
                </c:pt>
                <c:pt idx="874">
                  <c:v>43.90750000000056</c:v>
                </c:pt>
                <c:pt idx="875">
                  <c:v>43.907600000000564</c:v>
                </c:pt>
                <c:pt idx="876">
                  <c:v>43.907700000000567</c:v>
                </c:pt>
                <c:pt idx="877">
                  <c:v>43.90780000000057</c:v>
                </c:pt>
                <c:pt idx="878">
                  <c:v>43.907900000000573</c:v>
                </c:pt>
                <c:pt idx="879">
                  <c:v>43.908000000000577</c:v>
                </c:pt>
                <c:pt idx="880">
                  <c:v>43.90810000000058</c:v>
                </c:pt>
                <c:pt idx="881">
                  <c:v>43.908200000000583</c:v>
                </c:pt>
                <c:pt idx="882">
                  <c:v>43.908300000000587</c:v>
                </c:pt>
                <c:pt idx="883">
                  <c:v>43.90840000000059</c:v>
                </c:pt>
                <c:pt idx="884">
                  <c:v>43.908500000000593</c:v>
                </c:pt>
                <c:pt idx="885">
                  <c:v>43.908600000000597</c:v>
                </c:pt>
                <c:pt idx="886">
                  <c:v>43.9087000000006</c:v>
                </c:pt>
                <c:pt idx="887">
                  <c:v>43.908800000000603</c:v>
                </c:pt>
                <c:pt idx="888">
                  <c:v>43.908900000000607</c:v>
                </c:pt>
                <c:pt idx="889">
                  <c:v>43.90900000000061</c:v>
                </c:pt>
                <c:pt idx="890">
                  <c:v>43.909100000000613</c:v>
                </c:pt>
                <c:pt idx="891">
                  <c:v>43.909200000000617</c:v>
                </c:pt>
                <c:pt idx="892">
                  <c:v>43.90930000000062</c:v>
                </c:pt>
                <c:pt idx="893">
                  <c:v>43.909400000000623</c:v>
                </c:pt>
                <c:pt idx="894">
                  <c:v>43.909500000000627</c:v>
                </c:pt>
                <c:pt idx="895">
                  <c:v>43.90960000000063</c:v>
                </c:pt>
                <c:pt idx="896">
                  <c:v>43.909700000000633</c:v>
                </c:pt>
                <c:pt idx="897">
                  <c:v>43.909800000000637</c:v>
                </c:pt>
                <c:pt idx="898">
                  <c:v>43.90990000000064</c:v>
                </c:pt>
                <c:pt idx="899">
                  <c:v>43.910000000000643</c:v>
                </c:pt>
                <c:pt idx="900">
                  <c:v>43.910100000000647</c:v>
                </c:pt>
                <c:pt idx="901">
                  <c:v>43.91020000000065</c:v>
                </c:pt>
                <c:pt idx="902">
                  <c:v>43.910300000000653</c:v>
                </c:pt>
                <c:pt idx="903">
                  <c:v>43.910400000000656</c:v>
                </c:pt>
                <c:pt idx="904">
                  <c:v>43.91050000000066</c:v>
                </c:pt>
                <c:pt idx="905">
                  <c:v>43.910600000000663</c:v>
                </c:pt>
                <c:pt idx="906">
                  <c:v>43.910700000000666</c:v>
                </c:pt>
                <c:pt idx="907">
                  <c:v>43.91080000000067</c:v>
                </c:pt>
                <c:pt idx="908">
                  <c:v>43.910900000000673</c:v>
                </c:pt>
                <c:pt idx="909">
                  <c:v>43.911000000000676</c:v>
                </c:pt>
                <c:pt idx="910">
                  <c:v>43.91110000000068</c:v>
                </c:pt>
                <c:pt idx="911">
                  <c:v>43.911200000000683</c:v>
                </c:pt>
                <c:pt idx="912">
                  <c:v>43.911300000000686</c:v>
                </c:pt>
                <c:pt idx="913">
                  <c:v>43.91140000000069</c:v>
                </c:pt>
                <c:pt idx="914">
                  <c:v>43.911500000000693</c:v>
                </c:pt>
                <c:pt idx="915">
                  <c:v>43.911600000000696</c:v>
                </c:pt>
                <c:pt idx="916">
                  <c:v>43.9117000000007</c:v>
                </c:pt>
                <c:pt idx="917">
                  <c:v>43.911800000000703</c:v>
                </c:pt>
                <c:pt idx="918">
                  <c:v>43.911900000000706</c:v>
                </c:pt>
                <c:pt idx="919">
                  <c:v>43.91200000000071</c:v>
                </c:pt>
                <c:pt idx="920">
                  <c:v>43.912100000000713</c:v>
                </c:pt>
                <c:pt idx="921">
                  <c:v>43.912200000000716</c:v>
                </c:pt>
                <c:pt idx="922">
                  <c:v>43.91230000000072</c:v>
                </c:pt>
                <c:pt idx="923">
                  <c:v>43.912400000000723</c:v>
                </c:pt>
                <c:pt idx="924">
                  <c:v>43.912500000000726</c:v>
                </c:pt>
                <c:pt idx="925">
                  <c:v>43.912600000000729</c:v>
                </c:pt>
                <c:pt idx="926">
                  <c:v>43.912700000000733</c:v>
                </c:pt>
                <c:pt idx="927">
                  <c:v>43.912800000000736</c:v>
                </c:pt>
                <c:pt idx="928">
                  <c:v>43.912900000000739</c:v>
                </c:pt>
                <c:pt idx="929">
                  <c:v>43.913000000000743</c:v>
                </c:pt>
                <c:pt idx="930">
                  <c:v>43.913100000000746</c:v>
                </c:pt>
                <c:pt idx="931">
                  <c:v>43.913200000000749</c:v>
                </c:pt>
                <c:pt idx="932">
                  <c:v>43.913300000000753</c:v>
                </c:pt>
                <c:pt idx="933">
                  <c:v>43.913400000000756</c:v>
                </c:pt>
                <c:pt idx="934">
                  <c:v>43.913500000000759</c:v>
                </c:pt>
                <c:pt idx="935">
                  <c:v>43.913600000000763</c:v>
                </c:pt>
                <c:pt idx="936">
                  <c:v>43.913700000000766</c:v>
                </c:pt>
                <c:pt idx="937">
                  <c:v>43.913800000000769</c:v>
                </c:pt>
                <c:pt idx="938">
                  <c:v>43.913900000000773</c:v>
                </c:pt>
                <c:pt idx="939">
                  <c:v>43.914000000000776</c:v>
                </c:pt>
                <c:pt idx="940">
                  <c:v>43.914100000000779</c:v>
                </c:pt>
                <c:pt idx="941">
                  <c:v>43.914200000000783</c:v>
                </c:pt>
                <c:pt idx="942">
                  <c:v>43.914300000000786</c:v>
                </c:pt>
                <c:pt idx="943">
                  <c:v>43.914400000000789</c:v>
                </c:pt>
                <c:pt idx="944">
                  <c:v>43.914500000000793</c:v>
                </c:pt>
                <c:pt idx="945">
                  <c:v>43.914600000000796</c:v>
                </c:pt>
                <c:pt idx="946">
                  <c:v>43.914700000000799</c:v>
                </c:pt>
                <c:pt idx="947">
                  <c:v>43.914800000000803</c:v>
                </c:pt>
                <c:pt idx="948">
                  <c:v>43.914900000000806</c:v>
                </c:pt>
                <c:pt idx="949">
                  <c:v>43.915000000000809</c:v>
                </c:pt>
                <c:pt idx="950">
                  <c:v>43.915100000000812</c:v>
                </c:pt>
                <c:pt idx="951">
                  <c:v>43.915200000000816</c:v>
                </c:pt>
                <c:pt idx="952">
                  <c:v>43.915300000000819</c:v>
                </c:pt>
                <c:pt idx="953">
                  <c:v>43.915400000000822</c:v>
                </c:pt>
                <c:pt idx="954">
                  <c:v>43.915500000000826</c:v>
                </c:pt>
                <c:pt idx="955">
                  <c:v>43.915600000000829</c:v>
                </c:pt>
                <c:pt idx="956">
                  <c:v>43.915700000000832</c:v>
                </c:pt>
                <c:pt idx="957">
                  <c:v>43.915800000000836</c:v>
                </c:pt>
                <c:pt idx="958">
                  <c:v>43.915900000000839</c:v>
                </c:pt>
                <c:pt idx="959">
                  <c:v>43.916000000000842</c:v>
                </c:pt>
                <c:pt idx="960">
                  <c:v>43.916100000000846</c:v>
                </c:pt>
                <c:pt idx="961">
                  <c:v>43.916200000000849</c:v>
                </c:pt>
                <c:pt idx="962">
                  <c:v>43.916300000000852</c:v>
                </c:pt>
                <c:pt idx="963">
                  <c:v>43.916400000000856</c:v>
                </c:pt>
                <c:pt idx="964">
                  <c:v>43.916500000000859</c:v>
                </c:pt>
                <c:pt idx="965">
                  <c:v>43.916600000000862</c:v>
                </c:pt>
                <c:pt idx="966">
                  <c:v>43.916700000000866</c:v>
                </c:pt>
                <c:pt idx="967">
                  <c:v>43.916800000000869</c:v>
                </c:pt>
                <c:pt idx="968">
                  <c:v>43.916900000000872</c:v>
                </c:pt>
                <c:pt idx="969">
                  <c:v>43.917000000000876</c:v>
                </c:pt>
                <c:pt idx="970">
                  <c:v>43.917100000000879</c:v>
                </c:pt>
                <c:pt idx="971">
                  <c:v>43.917200000000882</c:v>
                </c:pt>
                <c:pt idx="972">
                  <c:v>43.917300000000886</c:v>
                </c:pt>
                <c:pt idx="973">
                  <c:v>43.917400000000889</c:v>
                </c:pt>
                <c:pt idx="974">
                  <c:v>43.917500000000892</c:v>
                </c:pt>
                <c:pt idx="975">
                  <c:v>43.917600000000895</c:v>
                </c:pt>
                <c:pt idx="976">
                  <c:v>43.917700000000899</c:v>
                </c:pt>
                <c:pt idx="977">
                  <c:v>43.917800000000902</c:v>
                </c:pt>
                <c:pt idx="978">
                  <c:v>43.917900000000905</c:v>
                </c:pt>
                <c:pt idx="979">
                  <c:v>43.918000000000909</c:v>
                </c:pt>
                <c:pt idx="980">
                  <c:v>43.918100000000912</c:v>
                </c:pt>
                <c:pt idx="981">
                  <c:v>43.918200000000915</c:v>
                </c:pt>
                <c:pt idx="982">
                  <c:v>43.918300000000919</c:v>
                </c:pt>
                <c:pt idx="983">
                  <c:v>43.918400000000922</c:v>
                </c:pt>
                <c:pt idx="984">
                  <c:v>43.918500000000925</c:v>
                </c:pt>
                <c:pt idx="985">
                  <c:v>43.918600000000929</c:v>
                </c:pt>
                <c:pt idx="986">
                  <c:v>43.918700000000932</c:v>
                </c:pt>
                <c:pt idx="987">
                  <c:v>43.918800000000935</c:v>
                </c:pt>
                <c:pt idx="988">
                  <c:v>43.918900000000939</c:v>
                </c:pt>
                <c:pt idx="989">
                  <c:v>43.919000000000942</c:v>
                </c:pt>
                <c:pt idx="990">
                  <c:v>43.919100000000945</c:v>
                </c:pt>
                <c:pt idx="991">
                  <c:v>43.919200000000949</c:v>
                </c:pt>
                <c:pt idx="992">
                  <c:v>43.919300000000952</c:v>
                </c:pt>
                <c:pt idx="993">
                  <c:v>43.919400000000955</c:v>
                </c:pt>
                <c:pt idx="994">
                  <c:v>43.919500000000959</c:v>
                </c:pt>
                <c:pt idx="995">
                  <c:v>43.919600000000962</c:v>
                </c:pt>
                <c:pt idx="996">
                  <c:v>43.919700000000965</c:v>
                </c:pt>
                <c:pt idx="997">
                  <c:v>43.919800000000969</c:v>
                </c:pt>
                <c:pt idx="998">
                  <c:v>43.919900000000972</c:v>
                </c:pt>
                <c:pt idx="999">
                  <c:v>43.920000000000975</c:v>
                </c:pt>
                <c:pt idx="1000">
                  <c:v>43.920100000000978</c:v>
                </c:pt>
              </c:numCache>
            </c:numRef>
          </c:xVal>
          <c:yVal>
            <c:numRef>
              <c:f>Calculs!$AH$4:$AH$1004</c:f>
              <c:numCache>
                <c:formatCode>0.00</c:formatCode>
                <c:ptCount val="1001"/>
                <c:pt idx="0">
                  <c:v>0</c:v>
                </c:pt>
                <c:pt idx="1">
                  <c:v>8.2242036510959995</c:v>
                </c:pt>
                <c:pt idx="2">
                  <c:v>37.875637983760832</c:v>
                </c:pt>
                <c:pt idx="3">
                  <c:v>67.511184569848524</c:v>
                </c:pt>
                <c:pt idx="4">
                  <c:v>97.143768792078788</c:v>
                </c:pt>
                <c:pt idx="5">
                  <c:v>126.78597170961356</c:v>
                </c:pt>
                <c:pt idx="6">
                  <c:v>141.40484250385208</c:v>
                </c:pt>
                <c:pt idx="7">
                  <c:v>140.97873797549133</c:v>
                </c:pt>
                <c:pt idx="8">
                  <c:v>140.55009493756944</c:v>
                </c:pt>
                <c:pt idx="9">
                  <c:v>140.11893701267499</c:v>
                </c:pt>
                <c:pt idx="10">
                  <c:v>139.68528798845639</c:v>
                </c:pt>
                <c:pt idx="11">
                  <c:v>139.24917181361937</c:v>
                </c:pt>
                <c:pt idx="12">
                  <c:v>138.81061259390637</c:v>
                </c:pt>
                <c:pt idx="13">
                  <c:v>138.3696345880592</c:v>
                </c:pt>
                <c:pt idx="14">
                  <c:v>137.92626220376604</c:v>
                </c:pt>
                <c:pt idx="15">
                  <c:v>137.48051999359407</c:v>
                </c:pt>
                <c:pt idx="16">
                  <c:v>137.03243265090876</c:v>
                </c:pt>
                <c:pt idx="17">
                  <c:v>136.58202500578116</c:v>
                </c:pt>
                <c:pt idx="18">
                  <c:v>136.12932202088427</c:v>
                </c:pt>
                <c:pt idx="19">
                  <c:v>135.67434878737978</c:v>
                </c:pt>
                <c:pt idx="20">
                  <c:v>135.21713052079596</c:v>
                </c:pt>
                <c:pt idx="21">
                  <c:v>134.75769255689855</c:v>
                </c:pt>
                <c:pt idx="22">
                  <c:v>134.29606034755511</c:v>
                </c:pt>
                <c:pt idx="23">
                  <c:v>133.83225945659467</c:v>
                </c:pt>
                <c:pt idx="24">
                  <c:v>133.36631555566296</c:v>
                </c:pt>
                <c:pt idx="25">
                  <c:v>132.89825442007526</c:v>
                </c:pt>
                <c:pt idx="26">
                  <c:v>132.42810192466763</c:v>
                </c:pt>
                <c:pt idx="27">
                  <c:v>131.9558840396476</c:v>
                </c:pt>
                <c:pt idx="28">
                  <c:v>131.48162682644528</c:v>
                </c:pt>
                <c:pt idx="29">
                  <c:v>131.00535643356665</c:v>
                </c:pt>
                <c:pt idx="30">
                  <c:v>130.52709909244948</c:v>
                </c:pt>
                <c:pt idx="31">
                  <c:v>130.04688111332331</c:v>
                </c:pt>
                <c:pt idx="32">
                  <c:v>129.56472888107464</c:v>
                </c:pt>
                <c:pt idx="33">
                  <c:v>129.08066885111811</c:v>
                </c:pt>
                <c:pt idx="34">
                  <c:v>128.59472754527502</c:v>
                </c:pt>
                <c:pt idx="35">
                  <c:v>128.10693154766051</c:v>
                </c:pt>
                <c:pt idx="36">
                  <c:v>127.61730750057957</c:v>
                </c:pt>
                <c:pt idx="37">
                  <c:v>127.12588210043391</c:v>
                </c:pt>
                <c:pt idx="38">
                  <c:v>126.63268209364037</c:v>
                </c:pt>
                <c:pt idx="39">
                  <c:v>126.13773427256147</c:v>
                </c:pt>
                <c:pt idx="40">
                  <c:v>125.64106547145003</c:v>
                </c:pt>
                <c:pt idx="41">
                  <c:v>125.14270256240789</c:v>
                </c:pt>
                <c:pt idx="42">
                  <c:v>124.64267245136027</c:v>
                </c:pt>
                <c:pt idx="43">
                  <c:v>124.14100207404704</c:v>
                </c:pt>
                <c:pt idx="44">
                  <c:v>123.63771839203079</c:v>
                </c:pt>
                <c:pt idx="45">
                  <c:v>123.132848388724</c:v>
                </c:pt>
                <c:pt idx="46">
                  <c:v>122.62641906543517</c:v>
                </c:pt>
                <c:pt idx="47">
                  <c:v>122.11845743743545</c:v>
                </c:pt>
                <c:pt idx="48">
                  <c:v>121.60899053004643</c:v>
                </c:pt>
                <c:pt idx="49">
                  <c:v>121.09804537475003</c:v>
                </c:pt>
                <c:pt idx="50">
                  <c:v>120.5856490053215</c:v>
                </c:pt>
                <c:pt idx="51">
                  <c:v>120.15187106034998</c:v>
                </c:pt>
                <c:pt idx="52">
                  <c:v>119.79677842077733</c:v>
                </c:pt>
                <c:pt idx="53">
                  <c:v>119.44027981841681</c:v>
                </c:pt>
                <c:pt idx="54">
                  <c:v>119.08239357084311</c:v>
                </c:pt>
                <c:pt idx="55">
                  <c:v>118.72313803585322</c:v>
                </c:pt>
                <c:pt idx="56">
                  <c:v>118.36253160904259</c:v>
                </c:pt>
                <c:pt idx="57">
                  <c:v>118.00059272138688</c:v>
                </c:pt>
                <c:pt idx="58">
                  <c:v>117.63733983683045</c:v>
                </c:pt>
                <c:pt idx="59">
                  <c:v>117.27279144988169</c:v>
                </c:pt>
                <c:pt idx="60">
                  <c:v>116.90696608321609</c:v>
                </c:pt>
                <c:pt idx="61">
                  <c:v>116.53988228528705</c:v>
                </c:pt>
                <c:pt idx="62">
                  <c:v>116.17155862794546</c:v>
                </c:pt>
                <c:pt idx="63">
                  <c:v>115.80201370406832</c:v>
                </c:pt>
                <c:pt idx="64">
                  <c:v>115.43126612519661</c:v>
                </c:pt>
                <c:pt idx="65">
                  <c:v>115.05933451918345</c:v>
                </c:pt>
                <c:pt idx="66">
                  <c:v>114.68623752785257</c:v>
                </c:pt>
                <c:pt idx="67">
                  <c:v>114.31199380466781</c:v>
                </c:pt>
                <c:pt idx="68">
                  <c:v>113.93662201241386</c:v>
                </c:pt>
                <c:pt idx="69">
                  <c:v>113.56014082088912</c:v>
                </c:pt>
                <c:pt idx="70">
                  <c:v>113.1825689046106</c:v>
                </c:pt>
                <c:pt idx="71">
                  <c:v>112.80392494053176</c:v>
                </c:pt>
                <c:pt idx="72">
                  <c:v>112.42422760577351</c:v>
                </c:pt>
                <c:pt idx="73">
                  <c:v>112.04349557536857</c:v>
                </c:pt>
                <c:pt idx="74">
                  <c:v>111.66174752002033</c:v>
                </c:pt>
                <c:pt idx="75">
                  <c:v>111.27900210387567</c:v>
                </c:pt>
                <c:pt idx="76">
                  <c:v>110.89527798231302</c:v>
                </c:pt>
                <c:pt idx="77">
                  <c:v>110.51059379974531</c:v>
                </c:pt>
                <c:pt idx="78">
                  <c:v>110.12496818743894</c:v>
                </c:pt>
                <c:pt idx="79">
                  <c:v>109.73841976134837</c:v>
                </c:pt>
                <c:pt idx="80">
                  <c:v>109.35096711996738</c:v>
                </c:pt>
                <c:pt idx="81">
                  <c:v>108.96262884219711</c:v>
                </c:pt>
                <c:pt idx="82">
                  <c:v>108.57342348523089</c:v>
                </c:pt>
                <c:pt idx="83">
                  <c:v>108.18336958245693</c:v>
                </c:pt>
                <c:pt idx="84">
                  <c:v>107.79248564137863</c:v>
                </c:pt>
                <c:pt idx="85">
                  <c:v>107.40079014155302</c:v>
                </c:pt>
                <c:pt idx="86">
                  <c:v>107.00830153254769</c:v>
                </c:pt>
                <c:pt idx="87">
                  <c:v>106.61503823191661</c:v>
                </c:pt>
                <c:pt idx="88">
                  <c:v>106.22101862319487</c:v>
                </c:pt>
                <c:pt idx="89">
                  <c:v>105.82626105391299</c:v>
                </c:pt>
                <c:pt idx="90">
                  <c:v>105.43078383363078</c:v>
                </c:pt>
                <c:pt idx="91">
                  <c:v>105.03460523199143</c:v>
                </c:pt>
                <c:pt idx="92">
                  <c:v>104.63774347679542</c:v>
                </c:pt>
                <c:pt idx="93">
                  <c:v>104.24021675209545</c:v>
                </c:pt>
                <c:pt idx="94">
                  <c:v>103.84204319631181</c:v>
                </c:pt>
                <c:pt idx="95">
                  <c:v>103.44324090036892</c:v>
                </c:pt>
                <c:pt idx="96">
                  <c:v>103.04382790585318</c:v>
                </c:pt>
                <c:pt idx="97">
                  <c:v>102.6438222031922</c:v>
                </c:pt>
                <c:pt idx="98">
                  <c:v>102.243241729856</c:v>
                </c:pt>
                <c:pt idx="99">
                  <c:v>101.84210436857983</c:v>
                </c:pt>
                <c:pt idx="100">
                  <c:v>101.44042794560963</c:v>
                </c:pt>
                <c:pt idx="101">
                  <c:v>101.00089330885748</c:v>
                </c:pt>
                <c:pt idx="102">
                  <c:v>100.5235346129729</c:v>
                </c:pt>
                <c:pt idx="103">
                  <c:v>100.04577419323068</c:v>
                </c:pt>
                <c:pt idx="104">
                  <c:v>99.56763298292006</c:v>
                </c:pt>
                <c:pt idx="105">
                  <c:v>99.08913181380764</c:v>
                </c:pt>
                <c:pt idx="106">
                  <c:v>98.610291414233728</c:v>
                </c:pt>
                <c:pt idx="107">
                  <c:v>98.131132407242504</c:v>
                </c:pt>
                <c:pt idx="108">
                  <c:v>97.651675308746704</c:v>
                </c:pt>
                <c:pt idx="109">
                  <c:v>97.171940525727464</c:v>
                </c:pt>
                <c:pt idx="110">
                  <c:v>96.691948354468167</c:v>
                </c:pt>
                <c:pt idx="111">
                  <c:v>96.211718978823541</c:v>
                </c:pt>
                <c:pt idx="112">
                  <c:v>95.731272468523485</c:v>
                </c:pt>
                <c:pt idx="113">
                  <c:v>95.250628777511665</c:v>
                </c:pt>
                <c:pt idx="114">
                  <c:v>94.769807742319443</c:v>
                </c:pt>
                <c:pt idx="115">
                  <c:v>94.288829080474272</c:v>
                </c:pt>
                <c:pt idx="116">
                  <c:v>93.807712388943543</c:v>
                </c:pt>
                <c:pt idx="117">
                  <c:v>93.326477142613157</c:v>
                </c:pt>
                <c:pt idx="118">
                  <c:v>92.845142692801247</c:v>
                </c:pt>
                <c:pt idx="119">
                  <c:v>92.363728265806884</c:v>
                </c:pt>
                <c:pt idx="120">
                  <c:v>91.882252961493819</c:v>
                </c:pt>
                <c:pt idx="121">
                  <c:v>91.400735751908996</c:v>
                </c:pt>
                <c:pt idx="122">
                  <c:v>90.919195479936121</c:v>
                </c:pt>
                <c:pt idx="123">
                  <c:v>90.437650857984167</c:v>
                </c:pt>
                <c:pt idx="124">
                  <c:v>89.956120466710374</c:v>
                </c:pt>
                <c:pt idx="125">
                  <c:v>89.474622753778306</c:v>
                </c:pt>
                <c:pt idx="126">
                  <c:v>88.993176032650368</c:v>
                </c:pt>
                <c:pt idx="127">
                  <c:v>88.511798481414914</c:v>
                </c:pt>
                <c:pt idx="128">
                  <c:v>88.030508141647715</c:v>
                </c:pt>
                <c:pt idx="129">
                  <c:v>87.549322917307947</c:v>
                </c:pt>
                <c:pt idx="130">
                  <c:v>87.068260573668269</c:v>
                </c:pt>
                <c:pt idx="131">
                  <c:v>86.587338736279094</c:v>
                </c:pt>
                <c:pt idx="132">
                  <c:v>86.106574889966566</c:v>
                </c:pt>
                <c:pt idx="133">
                  <c:v>85.625986377864891</c:v>
                </c:pt>
                <c:pt idx="134">
                  <c:v>85.145590400481638</c:v>
                </c:pt>
                <c:pt idx="135">
                  <c:v>84.66540401479709</c:v>
                </c:pt>
                <c:pt idx="136">
                  <c:v>84.185444133396771</c:v>
                </c:pt>
                <c:pt idx="137">
                  <c:v>83.705727523636924</c:v>
                </c:pt>
                <c:pt idx="138">
                  <c:v>83.226270806843374</c:v>
                </c:pt>
                <c:pt idx="139">
                  <c:v>82.747090457542839</c:v>
                </c:pt>
                <c:pt idx="140">
                  <c:v>82.268202802726833</c:v>
                </c:pt>
                <c:pt idx="141">
                  <c:v>81.789624021148285</c:v>
                </c:pt>
                <c:pt idx="142">
                  <c:v>81.311370142649977</c:v>
                </c:pt>
                <c:pt idx="143">
                  <c:v>80.833457047524988</c:v>
                </c:pt>
                <c:pt idx="144">
                  <c:v>80.355900465909187</c:v>
                </c:pt>
                <c:pt idx="145">
                  <c:v>79.878715977204678</c:v>
                </c:pt>
                <c:pt idx="146">
                  <c:v>79.401919009534978</c:v>
                </c:pt>
                <c:pt idx="147">
                  <c:v>78.92552483923113</c:v>
                </c:pt>
                <c:pt idx="148">
                  <c:v>78.449548590348186</c:v>
                </c:pt>
                <c:pt idx="149">
                  <c:v>77.974005234212854</c:v>
                </c:pt>
                <c:pt idx="150">
                  <c:v>77.498909589000718</c:v>
                </c:pt>
                <c:pt idx="151">
                  <c:v>77.037119865426988</c:v>
                </c:pt>
                <c:pt idx="152">
                  <c:v>76.588633351046937</c:v>
                </c:pt>
                <c:pt idx="153">
                  <c:v>76.140587518733511</c:v>
                </c:pt>
                <c:pt idx="154">
                  <c:v>75.692995725684455</c:v>
                </c:pt>
                <c:pt idx="155">
                  <c:v>75.245871189110247</c:v>
                </c:pt>
                <c:pt idx="156">
                  <c:v>74.799226985972723</c:v>
                </c:pt>
                <c:pt idx="157">
                  <c:v>74.353076052748648</c:v>
                </c:pt>
                <c:pt idx="158">
                  <c:v>73.907431185218499</c:v>
                </c:pt>
                <c:pt idx="159">
                  <c:v>73.46230503827978</c:v>
                </c:pt>
                <c:pt idx="160">
                  <c:v>73.017710125785101</c:v>
                </c:pt>
                <c:pt idx="161">
                  <c:v>72.573658820404233</c:v>
                </c:pt>
                <c:pt idx="162">
                  <c:v>72.130163353510142</c:v>
                </c:pt>
                <c:pt idx="163">
                  <c:v>71.687235815088883</c:v>
                </c:pt>
                <c:pt idx="164">
                  <c:v>71.24488815367269</c:v>
                </c:pt>
                <c:pt idx="165">
                  <c:v>70.803132176296259</c:v>
                </c:pt>
                <c:pt idx="166">
                  <c:v>70.361979548476057</c:v>
                </c:pt>
                <c:pt idx="167">
                  <c:v>69.921441794212072</c:v>
                </c:pt>
                <c:pt idx="168">
                  <c:v>69.481530296011755</c:v>
                </c:pt>
                <c:pt idx="169">
                  <c:v>69.042256294936266</c:v>
                </c:pt>
                <c:pt idx="170">
                  <c:v>68.603630890668171</c:v>
                </c:pt>
                <c:pt idx="171">
                  <c:v>68.16566504160096</c:v>
                </c:pt>
                <c:pt idx="172">
                  <c:v>67.728369564949091</c:v>
                </c:pt>
                <c:pt idx="173">
                  <c:v>67.291755136879729</c:v>
                </c:pt>
                <c:pt idx="174">
                  <c:v>66.855832292664289</c:v>
                </c:pt>
                <c:pt idx="175">
                  <c:v>66.420611426850783</c:v>
                </c:pt>
                <c:pt idx="176">
                  <c:v>65.986102793455956</c:v>
                </c:pt>
                <c:pt idx="177">
                  <c:v>65.552316506177064</c:v>
                </c:pt>
                <c:pt idx="178">
                  <c:v>65.119262538623175</c:v>
                </c:pt>
                <c:pt idx="179">
                  <c:v>64.686950724565477</c:v>
                </c:pt>
                <c:pt idx="180">
                  <c:v>64.255390758206488</c:v>
                </c:pt>
                <c:pt idx="181">
                  <c:v>63.824592194467591</c:v>
                </c:pt>
                <c:pt idx="182">
                  <c:v>63.394564449294862</c:v>
                </c:pt>
                <c:pt idx="183">
                  <c:v>62.965316799983007</c:v>
                </c:pt>
                <c:pt idx="184">
                  <c:v>62.536858385516432</c:v>
                </c:pt>
                <c:pt idx="185">
                  <c:v>62.109198206928106</c:v>
                </c:pt>
                <c:pt idx="186">
                  <c:v>61.682345127674957</c:v>
                </c:pt>
                <c:pt idx="187">
                  <c:v>61.256307874030377</c:v>
                </c:pt>
                <c:pt idx="188">
                  <c:v>60.831095035492915</c:v>
                </c:pt>
                <c:pt idx="189">
                  <c:v>60.406715065210967</c:v>
                </c:pt>
                <c:pt idx="190">
                  <c:v>59.983176280423471</c:v>
                </c:pt>
                <c:pt idx="191">
                  <c:v>59.560486862915987</c:v>
                </c:pt>
                <c:pt idx="192">
                  <c:v>59.138654859491908</c:v>
                </c:pt>
                <c:pt idx="193">
                  <c:v>58.717688182458772</c:v>
                </c:pt>
                <c:pt idx="194">
                  <c:v>58.297594610128726</c:v>
                </c:pt>
                <c:pt idx="195">
                  <c:v>57.878381787333936</c:v>
                </c:pt>
                <c:pt idx="196">
                  <c:v>57.460057225955346</c:v>
                </c:pt>
                <c:pt idx="197">
                  <c:v>57.042628305465662</c:v>
                </c:pt>
                <c:pt idx="198">
                  <c:v>56.626102273485188</c:v>
                </c:pt>
                <c:pt idx="199">
                  <c:v>56.210486246351344</c:v>
                </c:pt>
                <c:pt idx="200">
                  <c:v>55.795787209700642</c:v>
                </c:pt>
                <c:pt idx="201">
                  <c:v>55.382012019063254</c:v>
                </c:pt>
                <c:pt idx="202">
                  <c:v>54.969167400469757</c:v>
                </c:pt>
                <c:pt idx="203">
                  <c:v>54.557259951070058</c:v>
                </c:pt>
                <c:pt idx="204">
                  <c:v>54.146296139763685</c:v>
                </c:pt>
                <c:pt idx="205">
                  <c:v>53.736282307841563</c:v>
                </c:pt>
                <c:pt idx="206">
                  <c:v>53.327224669638902</c:v>
                </c:pt>
                <c:pt idx="207">
                  <c:v>52.919129313198724</c:v>
                </c:pt>
                <c:pt idx="208">
                  <c:v>52.512002200946277</c:v>
                </c:pt>
                <c:pt idx="209">
                  <c:v>52.105849170373098</c:v>
                </c:pt>
                <c:pt idx="210">
                  <c:v>51.700675934731613</c:v>
                </c:pt>
                <c:pt idx="211">
                  <c:v>51.296488083739014</c:v>
                </c:pt>
                <c:pt idx="212">
                  <c:v>50.893291084290716</c:v>
                </c:pt>
                <c:pt idx="213">
                  <c:v>50.491090281182949</c:v>
                </c:pt>
                <c:pt idx="214">
                  <c:v>50.089890897844043</c:v>
                </c:pt>
                <c:pt idx="215">
                  <c:v>49.689698037074564</c:v>
                </c:pt>
                <c:pt idx="216">
                  <c:v>49.290516681795523</c:v>
                </c:pt>
                <c:pt idx="217">
                  <c:v>48.892351695804784</c:v>
                </c:pt>
                <c:pt idx="218">
                  <c:v>48.495207824541325</c:v>
                </c:pt>
                <c:pt idx="219">
                  <c:v>48.099089695856605</c:v>
                </c:pt>
                <c:pt idx="220">
                  <c:v>47.704001820794026</c:v>
                </c:pt>
                <c:pt idx="221">
                  <c:v>47.30994859437449</c:v>
                </c:pt>
                <c:pt idx="222">
                  <c:v>46.916934296389421</c:v>
                </c:pt>
                <c:pt idx="223">
                  <c:v>46.524963092199897</c:v>
                </c:pt>
                <c:pt idx="224">
                  <c:v>46.134039033542223</c:v>
                </c:pt>
                <c:pt idx="225">
                  <c:v>45.744166059339676</c:v>
                </c:pt>
                <c:pt idx="226">
                  <c:v>45.355347996519413</c:v>
                </c:pt>
                <c:pt idx="227">
                  <c:v>44.967588560835843</c:v>
                </c:pt>
                <c:pt idx="228">
                  <c:v>44.580891357698498</c:v>
                </c:pt>
                <c:pt idx="229">
                  <c:v>44.1952598830052</c:v>
                </c:pt>
                <c:pt idx="230">
                  <c:v>43.810697523980451</c:v>
                </c:pt>
                <c:pt idx="231">
                  <c:v>43.427207560017806</c:v>
                </c:pt>
                <c:pt idx="232">
                  <c:v>43.044793163527011</c:v>
                </c:pt>
                <c:pt idx="233">
                  <c:v>42.663457400785063</c:v>
                </c:pt>
                <c:pt idx="234">
                  <c:v>42.283203232791585</c:v>
                </c:pt>
                <c:pt idx="235">
                  <c:v>41.904033516127249</c:v>
                </c:pt>
                <c:pt idx="236">
                  <c:v>41.52595100381636</c:v>
                </c:pt>
                <c:pt idx="237">
                  <c:v>41.148958346192202</c:v>
                </c:pt>
                <c:pt idx="238">
                  <c:v>40.773058091765776</c:v>
                </c:pt>
                <c:pt idx="239">
                  <c:v>40.398252688097152</c:v>
                </c:pt>
                <c:pt idx="240">
                  <c:v>40.024544482669739</c:v>
                </c:pt>
                <c:pt idx="241">
                  <c:v>39.651935723766492</c:v>
                </c:pt>
                <c:pt idx="242">
                  <c:v>39.280428561349268</c:v>
                </c:pt>
                <c:pt idx="243">
                  <c:v>38.910025047938852</c:v>
                </c:pt>
                <c:pt idx="244">
                  <c:v>38.540727139498308</c:v>
                </c:pt>
                <c:pt idx="245">
                  <c:v>38.172536696317053</c:v>
                </c:pt>
                <c:pt idx="246">
                  <c:v>37.805455483896552</c:v>
                </c:pt>
                <c:pt idx="247">
                  <c:v>37.439485173837461</c:v>
                </c:pt>
                <c:pt idx="248">
                  <c:v>37.074627344727865</c:v>
                </c:pt>
                <c:pt idx="249">
                  <c:v>36.710883483032148</c:v>
                </c:pt>
                <c:pt idx="250">
                  <c:v>36.348254983981072</c:v>
                </c:pt>
                <c:pt idx="251">
                  <c:v>35.93027265657571</c:v>
                </c:pt>
                <c:pt idx="252">
                  <c:v>35.457086930878567</c:v>
                </c:pt>
                <c:pt idx="253">
                  <c:v>34.985375678733654</c:v>
                </c:pt>
                <c:pt idx="254">
                  <c:v>34.515140968782589</c:v>
                </c:pt>
                <c:pt idx="255">
                  <c:v>34.046384725956266</c:v>
                </c:pt>
                <c:pt idx="256">
                  <c:v>33.579108732973921</c:v>
                </c:pt>
                <c:pt idx="257">
                  <c:v>33.113314631842663</c:v>
                </c:pt>
                <c:pt idx="258">
                  <c:v>32.649003925357874</c:v>
                </c:pt>
                <c:pt idx="259">
                  <c:v>32.186177978603325</c:v>
                </c:pt>
                <c:pt idx="260">
                  <c:v>31.724838020451909</c:v>
                </c:pt>
                <c:pt idx="261">
                  <c:v>31.264985145065065</c:v>
                </c:pt>
                <c:pt idx="262">
                  <c:v>30.806620313392507</c:v>
                </c:pt>
                <c:pt idx="263">
                  <c:v>30.349744354669745</c:v>
                </c:pt>
                <c:pt idx="264">
                  <c:v>29.89435796791529</c:v>
                </c:pt>
                <c:pt idx="265">
                  <c:v>29.440461723425553</c:v>
                </c:pt>
                <c:pt idx="266">
                  <c:v>28.988056064268051</c:v>
                </c:pt>
                <c:pt idx="267">
                  <c:v>28.537141307772377</c:v>
                </c:pt>
                <c:pt idx="268">
                  <c:v>28.087717647018671</c:v>
                </c:pt>
                <c:pt idx="269">
                  <c:v>27.639785152323316</c:v>
                </c:pt>
                <c:pt idx="270">
                  <c:v>27.19334377272159</c:v>
                </c:pt>
                <c:pt idx="271">
                  <c:v>26.748393337446892</c:v>
                </c:pt>
                <c:pt idx="272">
                  <c:v>26.304933557406837</c:v>
                </c:pt>
                <c:pt idx="273">
                  <c:v>25.862964026654954</c:v>
                </c:pt>
                <c:pt idx="274">
                  <c:v>25.422484223858724</c:v>
                </c:pt>
                <c:pt idx="275">
                  <c:v>24.983493513763449</c:v>
                </c:pt>
                <c:pt idx="276">
                  <c:v>24.545991148651169</c:v>
                </c:pt>
                <c:pt idx="277">
                  <c:v>24.109976269795208</c:v>
                </c:pt>
                <c:pt idx="278">
                  <c:v>23.675447908909351</c:v>
                </c:pt>
                <c:pt idx="279">
                  <c:v>23.24240498959281</c:v>
                </c:pt>
                <c:pt idx="280">
                  <c:v>22.81084632876826</c:v>
                </c:pt>
                <c:pt idx="281">
                  <c:v>22.380770638115646</c:v>
                </c:pt>
                <c:pt idx="282">
                  <c:v>21.952176525499546</c:v>
                </c:pt>
                <c:pt idx="283">
                  <c:v>21.525062496390628</c:v>
                </c:pt>
                <c:pt idx="284">
                  <c:v>21.099426955281068</c:v>
                </c:pt>
                <c:pt idx="285">
                  <c:v>20.675268207093428</c:v>
                </c:pt>
                <c:pt idx="286">
                  <c:v>20.252584458583051</c:v>
                </c:pt>
                <c:pt idx="287">
                  <c:v>19.831373819733823</c:v>
                </c:pt>
                <c:pt idx="288">
                  <c:v>19.411634305147022</c:v>
                </c:pt>
                <c:pt idx="289">
                  <c:v>18.993363835422894</c:v>
                </c:pt>
                <c:pt idx="290">
                  <c:v>18.576560238535464</c:v>
                </c:pt>
                <c:pt idx="291">
                  <c:v>18.161221251199525</c:v>
                </c:pt>
                <c:pt idx="292">
                  <c:v>17.747344520230424</c:v>
                </c:pt>
                <c:pt idx="293">
                  <c:v>17.334927603895949</c:v>
                </c:pt>
                <c:pt idx="294">
                  <c:v>16.923967973260783</c:v>
                </c:pt>
                <c:pt idx="295">
                  <c:v>16.514463013522573</c:v>
                </c:pt>
                <c:pt idx="296">
                  <c:v>16.106410025340317</c:v>
                </c:pt>
                <c:pt idx="297">
                  <c:v>15.699806226154166</c:v>
                </c:pt>
                <c:pt idx="298">
                  <c:v>14.670289258711746</c:v>
                </c:pt>
                <c:pt idx="299">
                  <c:v>13.019834865046068</c:v>
                </c:pt>
                <c:pt idx="300">
                  <c:v>11.375301181579253</c:v>
                </c:pt>
                <c:pt idx="301">
                  <c:v>9.7367047338836112</c:v>
                </c:pt>
                <c:pt idx="302">
                  <c:v>8.1040605360803415</c:v>
                </c:pt>
                <c:pt idx="303">
                  <c:v>6.4773821107775893</c:v>
                </c:pt>
                <c:pt idx="304">
                  <c:v>4.8566815090985207</c:v>
                </c:pt>
                <c:pt idx="305">
                  <c:v>3.2419693307865409</c:v>
                </c:pt>
                <c:pt idx="306">
                  <c:v>1.6332547443773946</c:v>
                </c:pt>
                <c:pt idx="307">
                  <c:v>3.0545507424969871E-2</c:v>
                </c:pt>
                <c:pt idx="308">
                  <c:v>-1.5661520132292828</c:v>
                </c:pt>
                <c:pt idx="309">
                  <c:v>-3.1568328211547296</c:v>
                </c:pt>
                <c:pt idx="310">
                  <c:v>-4.741493270008899</c:v>
                </c:pt>
                <c:pt idx="311">
                  <c:v>-6.3201310432033155</c:v>
                </c:pt>
                <c:pt idx="312">
                  <c:v>-7.8927451335691368</c:v>
                </c:pt>
                <c:pt idx="313">
                  <c:v>-9.4593358230318429</c:v>
                </c:pt>
                <c:pt idx="314">
                  <c:v>-11.019904662304981</c:v>
                </c:pt>
                <c:pt idx="315">
                  <c:v>-12.574454450612253</c:v>
                </c:pt>
                <c:pt idx="316">
                  <c:v>-14.122989215447733</c:v>
                </c:pt>
                <c:pt idx="317">
                  <c:v>-15.665514192381769</c:v>
                </c:pt>
                <c:pt idx="318">
                  <c:v>-17.202035804923185</c:v>
                </c:pt>
                <c:pt idx="319">
                  <c:v>-18.732561644444445</c:v>
                </c:pt>
                <c:pt idx="320">
                  <c:v>-20.257100450179113</c:v>
                </c:pt>
                <c:pt idx="321">
                  <c:v>-21.526773202214308</c:v>
                </c:pt>
                <c:pt idx="322">
                  <c:v>-22.542558350569557</c:v>
                </c:pt>
                <c:pt idx="323">
                  <c:v>-23.554433465647509</c:v>
                </c:pt>
                <c:pt idx="324">
                  <c:v>-24.562414115530242</c:v>
                </c:pt>
                <c:pt idx="325">
                  <c:v>-25.566516270571142</c:v>
                </c:pt>
                <c:pt idx="326">
                  <c:v>-26.566756295025126</c:v>
                </c:pt>
                <c:pt idx="327">
                  <c:v>-27.563150938763851</c:v>
                </c:pt>
                <c:pt idx="328">
                  <c:v>-28.555717329077684</c:v>
                </c:pt>
                <c:pt idx="329">
                  <c:v>-29.544472962564797</c:v>
                </c:pt>
                <c:pt idx="330">
                  <c:v>-30.529435697108752</c:v>
                </c:pt>
                <c:pt idx="331">
                  <c:v>-31.510623743945139</c:v>
                </c:pt>
                <c:pt idx="332">
                  <c:v>-32.48805565981904</c:v>
                </c:pt>
                <c:pt idx="333">
                  <c:v>-33.461750339232658</c:v>
                </c:pt>
                <c:pt idx="334">
                  <c:v>-34.43172700678516</c:v>
                </c:pt>
                <c:pt idx="335">
                  <c:v>-35.398005209604811</c:v>
                </c:pt>
                <c:pt idx="336">
                  <c:v>-36.36060480987426</c:v>
                </c:pt>
                <c:pt idx="337">
                  <c:v>-37.319545977448961</c:v>
                </c:pt>
                <c:pt idx="338">
                  <c:v>-38.274849182570556</c:v>
                </c:pt>
                <c:pt idx="339">
                  <c:v>-39.226535188674184</c:v>
                </c:pt>
                <c:pt idx="340">
                  <c:v>-40.174625045291101</c:v>
                </c:pt>
                <c:pt idx="341">
                  <c:v>-41.119140081047107</c:v>
                </c:pt>
                <c:pt idx="342">
                  <c:v>-42.060101896756038</c:v>
                </c:pt>
                <c:pt idx="343">
                  <c:v>-42.997532358610101</c:v>
                </c:pt>
                <c:pt idx="344">
                  <c:v>-43.931453591465974</c:v>
                </c:pt>
                <c:pt idx="345">
                  <c:v>-44.861887972227684</c:v>
                </c:pt>
                <c:pt idx="346">
                  <c:v>-45.788858123326293</c:v>
                </c:pt>
                <c:pt idx="347">
                  <c:v>-46.712386906296139</c:v>
                </c:pt>
                <c:pt idx="348">
                  <c:v>-47.605623470327146</c:v>
                </c:pt>
                <c:pt idx="349">
                  <c:v>-48.468706208641713</c:v>
                </c:pt>
                <c:pt idx="350">
                  <c:v>-49.328650327552545</c:v>
                </c:pt>
                <c:pt idx="351">
                  <c:v>-50.185478656849035</c:v>
                </c:pt>
                <c:pt idx="352">
                  <c:v>-51.039214196125641</c:v>
                </c:pt>
                <c:pt idx="353">
                  <c:v>-51.889880109776627</c:v>
                </c:pt>
                <c:pt idx="354">
                  <c:v>-52.737499722076841</c:v>
                </c:pt>
                <c:pt idx="355">
                  <c:v>-53.582096512348556</c:v>
                </c:pt>
                <c:pt idx="356">
                  <c:v>-54.423694110213418</c:v>
                </c:pt>
                <c:pt idx="357">
                  <c:v>-55.262316290930052</c:v>
                </c:pt>
                <c:pt idx="358">
                  <c:v>-56.097986970816279</c:v>
                </c:pt>
                <c:pt idx="359">
                  <c:v>-56.930730202755989</c:v>
                </c:pt>
                <c:pt idx="360">
                  <c:v>-57.201616148804383</c:v>
                </c:pt>
                <c:pt idx="361">
                  <c:v>-56.913120082213638</c:v>
                </c:pt>
                <c:pt idx="362">
                  <c:v>-56.626641217963439</c:v>
                </c:pt>
                <c:pt idx="363">
                  <c:v>-56.342160678299955</c:v>
                </c:pt>
                <c:pt idx="364">
                  <c:v>-56.059659807079164</c:v>
                </c:pt>
                <c:pt idx="365">
                  <c:v>-55.77912016664159</c:v>
                </c:pt>
                <c:pt idx="366">
                  <c:v>-55.500523534738271</c:v>
                </c:pt>
                <c:pt idx="367">
                  <c:v>-55.223851901507459</c:v>
                </c:pt>
                <c:pt idx="368">
                  <c:v>-54.949087466500693</c:v>
                </c:pt>
                <c:pt idx="369">
                  <c:v>-54.676212635757366</c:v>
                </c:pt>
                <c:pt idx="370">
                  <c:v>-54.405210018927136</c:v>
                </c:pt>
                <c:pt idx="371">
                  <c:v>-54.136062426439302</c:v>
                </c:pt>
                <c:pt idx="372">
                  <c:v>-53.868752866717564</c:v>
                </c:pt>
                <c:pt idx="373">
                  <c:v>-53.603264543440261</c:v>
                </c:pt>
                <c:pt idx="374">
                  <c:v>-53.339580852844925</c:v>
                </c:pt>
                <c:pt idx="375">
                  <c:v>-53.07768538107603</c:v>
                </c:pt>
                <c:pt idx="376">
                  <c:v>-52.817561901575374</c:v>
                </c:pt>
                <c:pt idx="377">
                  <c:v>-52.559194372514426</c:v>
                </c:pt>
                <c:pt idx="378">
                  <c:v>-52.302566934267851</c:v>
                </c:pt>
                <c:pt idx="379">
                  <c:v>-52.047663906926935</c:v>
                </c:pt>
                <c:pt idx="380">
                  <c:v>-51.79446978785311</c:v>
                </c:pt>
                <c:pt idx="381">
                  <c:v>-51.542969249269973</c:v>
                </c:pt>
                <c:pt idx="382">
                  <c:v>-51.293147135893825</c:v>
                </c:pt>
                <c:pt idx="383">
                  <c:v>-51.044988462601168</c:v>
                </c:pt>
                <c:pt idx="384">
                  <c:v>-50.798478412133626</c:v>
                </c:pt>
                <c:pt idx="385">
                  <c:v>-50.553602332838487</c:v>
                </c:pt>
                <c:pt idx="386">
                  <c:v>-50.31034573644498</c:v>
                </c:pt>
                <c:pt idx="387">
                  <c:v>-50.06869429587546</c:v>
                </c:pt>
                <c:pt idx="388">
                  <c:v>-49.828633843090465</c:v>
                </c:pt>
                <c:pt idx="389">
                  <c:v>-49.590150366967777</c:v>
                </c:pt>
                <c:pt idx="390">
                  <c:v>-49.353230011214485</c:v>
                </c:pt>
                <c:pt idx="391">
                  <c:v>-49.117859072310985</c:v>
                </c:pt>
                <c:pt idx="392">
                  <c:v>-48.88402399748756</c:v>
                </c:pt>
                <c:pt idx="393">
                  <c:v>-48.651711382731534</c:v>
                </c:pt>
                <c:pt idx="394">
                  <c:v>-48.420907970825745</c:v>
                </c:pt>
                <c:pt idx="395">
                  <c:v>-48.191600649416905</c:v>
                </c:pt>
                <c:pt idx="396">
                  <c:v>-47.963776449113496</c:v>
                </c:pt>
                <c:pt idx="397">
                  <c:v>-47.737422541613263</c:v>
                </c:pt>
                <c:pt idx="398">
                  <c:v>-47.512526237858907</c:v>
                </c:pt>
                <c:pt idx="399">
                  <c:v>-47.28907498622214</c:v>
                </c:pt>
                <c:pt idx="400">
                  <c:v>-47.067056370715143</c:v>
                </c:pt>
                <c:pt idx="401">
                  <c:v>-46.84645810922963</c:v>
                </c:pt>
                <c:pt idx="402">
                  <c:v>-44.681169018927974</c:v>
                </c:pt>
                <c:pt idx="403">
                  <c:v>-42.650338863274968</c:v>
                </c:pt>
                <c:pt idx="404">
                  <c:v>-40.742970758670424</c:v>
                </c:pt>
                <c:pt idx="405">
                  <c:v>-38.949179332957705</c:v>
                </c:pt>
                <c:pt idx="406">
                  <c:v>-37.260057844681469</c:v>
                </c:pt>
                <c:pt idx="407">
                  <c:v>-35.667563552200562</c:v>
                </c:pt>
                <c:pt idx="408">
                  <c:v>-34.164418513729764</c:v>
                </c:pt>
                <c:pt idx="409">
                  <c:v>-32.744023481289041</c:v>
                </c:pt>
                <c:pt idx="410">
                  <c:v>-31.400382943402132</c:v>
                </c:pt>
                <c:pt idx="411">
                  <c:v>-30.128039691413367</c:v>
                </c:pt>
                <c:pt idx="412">
                  <c:v>-28.922017546736146</c:v>
                </c:pt>
                <c:pt idx="413">
                  <c:v>-27.777771102423515</c:v>
                </c:pt>
                <c:pt idx="414">
                  <c:v>-26.691141511034267</c:v>
                </c:pt>
                <c:pt idx="415">
                  <c:v>-25.658317498904566</c:v>
                </c:pt>
                <c:pt idx="416">
                  <c:v>-24.675800910249901</c:v>
                </c:pt>
                <c:pt idx="417">
                  <c:v>-23.7403761875232</c:v>
                </c:pt>
                <c:pt idx="418">
                  <c:v>-22.849083280770778</c:v>
                </c:pt>
                <c:pt idx="419">
                  <c:v>-21.999193551288975</c:v>
                </c:pt>
                <c:pt idx="420">
                  <c:v>-21.188188296068805</c:v>
                </c:pt>
                <c:pt idx="421">
                  <c:v>-20.413739571259001</c:v>
                </c:pt>
                <c:pt idx="422">
                  <c:v>-19.673693036760643</c:v>
                </c:pt>
                <c:pt idx="423">
                  <c:v>-18.966052581384844</c:v>
                </c:pt>
                <c:pt idx="424">
                  <c:v>-18.288966519825475</c:v>
                </c:pt>
                <c:pt idx="425">
                  <c:v>-17.640715179900944</c:v>
                </c:pt>
                <c:pt idx="426">
                  <c:v>-17.019699721830701</c:v>
                </c:pt>
                <c:pt idx="427">
                  <c:v>-16.424432051337565</c:v>
                </c:pt>
                <c:pt idx="428">
                  <c:v>-15.85352570561051</c:v>
                </c:pt>
                <c:pt idx="429">
                  <c:v>-15.305687606042982</c:v>
                </c:pt>
                <c:pt idx="430">
                  <c:v>-14.779710584531923</c:v>
                </c:pt>
                <c:pt idx="431">
                  <c:v>-14.274466601277743</c:v>
                </c:pt>
                <c:pt idx="432">
                  <c:v>-13.788900581713676</c:v>
                </c:pt>
                <c:pt idx="433">
                  <c:v>-13.322024808623894</c:v>
                </c:pt>
                <c:pt idx="434">
                  <c:v>-12.872913812862157</c:v>
                </c:pt>
                <c:pt idx="435">
                  <c:v>-12.4406997125046</c:v>
                </c:pt>
                <c:pt idx="436">
                  <c:v>-12.024567955891904</c:v>
                </c:pt>
                <c:pt idx="437">
                  <c:v>-11.623753428944454</c:v>
                </c:pt>
                <c:pt idx="438">
                  <c:v>-11.23753689146313</c:v>
                </c:pt>
                <c:pt idx="439">
                  <c:v>-10.865241710936699</c:v>
                </c:pt>
                <c:pt idx="440">
                  <c:v>-10.506230865733686</c:v>
                </c:pt>
                <c:pt idx="441">
                  <c:v>-10.159904192518722</c:v>
                </c:pt>
                <c:pt idx="442">
                  <c:v>-9.8256958553531106</c:v>
                </c:pt>
                <c:pt idx="443">
                  <c:v>-9.50307201625834</c:v>
                </c:pt>
                <c:pt idx="444">
                  <c:v>-9.1915286890777228</c:v>
                </c:pt>
                <c:pt idx="445">
                  <c:v>-8.8905897602979262</c:v>
                </c:pt>
                <c:pt idx="446">
                  <c:v>-8.5998051621161871</c:v>
                </c:pt>
                <c:pt idx="447">
                  <c:v>-8.318749184485414</c:v>
                </c:pt>
                <c:pt idx="448">
                  <c:v>-8.0470189141593895</c:v>
                </c:pt>
                <c:pt idx="449">
                  <c:v>-7.7842327899118962</c:v>
                </c:pt>
                <c:pt idx="450">
                  <c:v>-7.5300292641334865</c:v>
                </c:pt>
                <c:pt idx="451">
                  <c:v>-7.2840655619314862</c:v>
                </c:pt>
                <c:pt idx="452">
                  <c:v>-7.0460165296851995</c:v>
                </c:pt>
                <c:pt idx="453">
                  <c:v>-6.8155735657497907</c:v>
                </c:pt>
                <c:pt idx="454">
                  <c:v>-6.5924436266686497</c:v>
                </c:pt>
                <c:pt idx="455">
                  <c:v>-6.3763483028533665</c:v>
                </c:pt>
                <c:pt idx="456">
                  <c:v>-6.1670229582302509</c:v>
                </c:pt>
                <c:pt idx="457">
                  <c:v>-5.9642159288387235</c:v>
                </c:pt>
                <c:pt idx="458">
                  <c:v>-5.7676877758062801</c:v>
                </c:pt>
                <c:pt idx="459">
                  <c:v>-5.5772105885213685</c:v>
                </c:pt>
                <c:pt idx="460">
                  <c:v>-5.392567334184351</c:v>
                </c:pt>
                <c:pt idx="461">
                  <c:v>-5.2135512502416077</c:v>
                </c:pt>
                <c:pt idx="462">
                  <c:v>-5.0399652765023237</c:v>
                </c:pt>
                <c:pt idx="463">
                  <c:v>-4.8716215240043628</c:v>
                </c:pt>
                <c:pt idx="464">
                  <c:v>-4.7083407779383508</c:v>
                </c:pt>
                <c:pt idx="465">
                  <c:v>-4.5499520321593101</c:v>
                </c:pt>
                <c:pt idx="466">
                  <c:v>-4.3962920530157383</c:v>
                </c:pt>
                <c:pt idx="467">
                  <c:v>-4.2472049704085633</c:v>
                </c:pt>
                <c:pt idx="468">
                  <c:v>-4.1025418941586942</c:v>
                </c:pt>
                <c:pt idx="469">
                  <c:v>-3.9621605539136979</c:v>
                </c:pt>
                <c:pt idx="470">
                  <c:v>-3.8259249609625474</c:v>
                </c:pt>
                <c:pt idx="471">
                  <c:v>-3.6937050904539936</c:v>
                </c:pt>
                <c:pt idx="472">
                  <c:v>-3.5653765826297747</c:v>
                </c:pt>
                <c:pt idx="473">
                  <c:v>-3.4408204617897566</c:v>
                </c:pt>
                <c:pt idx="474">
                  <c:v>-3.3199228718031013</c:v>
                </c:pt>
                <c:pt idx="475">
                  <c:v>-3.2025748270683954</c:v>
                </c:pt>
                <c:pt idx="476">
                  <c:v>-3.0886719779071399</c:v>
                </c:pt>
                <c:pt idx="477">
                  <c:v>-2.9781143894499396</c:v>
                </c:pt>
                <c:pt idx="478">
                  <c:v>-2.870806333143292</c:v>
                </c:pt>
                <c:pt idx="479">
                  <c:v>-2.7666560900681274</c:v>
                </c:pt>
                <c:pt idx="480">
                  <c:v>-2.665575765319304</c:v>
                </c:pt>
                <c:pt idx="481">
                  <c:v>-2.5674811127487351</c:v>
                </c:pt>
                <c:pt idx="482">
                  <c:v>-2.4722913694240054</c:v>
                </c:pt>
                <c:pt idx="483">
                  <c:v>-2.3799290991997304</c:v>
                </c:pt>
                <c:pt idx="484">
                  <c:v>-2.2903200448406964</c:v>
                </c:pt>
                <c:pt idx="485">
                  <c:v>-2.203392988174385</c:v>
                </c:pt>
                <c:pt idx="486">
                  <c:v>-2.1190796177860554</c:v>
                </c:pt>
                <c:pt idx="487">
                  <c:v>-2.0373144038024074</c:v>
                </c:pt>
                <c:pt idx="488">
                  <c:v>-1.9580344793401681</c:v>
                </c:pt>
                <c:pt idx="489">
                  <c:v>-1.8811795282239314</c:v>
                </c:pt>
                <c:pt idx="490">
                  <c:v>-1.8066916786034768</c:v>
                </c:pt>
                <c:pt idx="491">
                  <c:v>-1.7345154021246478</c:v>
                </c:pt>
                <c:pt idx="492">
                  <c:v>-1.6645974183299497</c:v>
                </c:pt>
                <c:pt idx="493">
                  <c:v>-1.5968866039853886</c:v>
                </c:pt>
                <c:pt idx="494">
                  <c:v>-1.5313339070488574</c:v>
                </c:pt>
                <c:pt idx="495">
                  <c:v>-1.467892265012702</c:v>
                </c:pt>
                <c:pt idx="496">
                  <c:v>-1.4065165273690348</c:v>
                </c:pt>
                <c:pt idx="497">
                  <c:v>-1.3471633819610349</c:v>
                </c:pt>
                <c:pt idx="498">
                  <c:v>-1.2897912849969027</c:v>
                </c:pt>
                <c:pt idx="499">
                  <c:v>-1.2343603945154467</c:v>
                </c:pt>
                <c:pt idx="500">
                  <c:v>-1.1808325071034538</c:v>
                </c:pt>
                <c:pt idx="501">
                  <c:v>-1.1291709976751758</c:v>
                </c:pt>
                <c:pt idx="502">
                  <c:v>-1.0793407621333724</c:v>
                </c:pt>
                <c:pt idx="503">
                  <c:v>-1.0313081627395526</c:v>
                </c:pt>
                <c:pt idx="504">
                  <c:v>-0.98504097602821616</c:v>
                </c:pt>
                <c:pt idx="505">
                  <c:v>-0.94050834310620079</c:v>
                </c:pt>
                <c:pt idx="506">
                  <c:v>-0.89768072218353823</c:v>
                </c:pt>
                <c:pt idx="507">
                  <c:v>-0.85652984318662684</c:v>
                </c:pt>
                <c:pt idx="508">
                  <c:v>-0.81702866430799792</c:v>
                </c:pt>
                <c:pt idx="509">
                  <c:v>-0.7791513303494445</c:v>
                </c:pt>
                <c:pt idx="510">
                  <c:v>-0.74287313271686806</c:v>
                </c:pt>
                <c:pt idx="511">
                  <c:v>-0.70817047092578533</c:v>
                </c:pt>
                <c:pt idx="512">
                  <c:v>-0.67502081547609194</c:v>
                </c:pt>
                <c:pt idx="513">
                  <c:v>-0.64340267195335865</c:v>
                </c:pt>
                <c:pt idx="514">
                  <c:v>-0.61329554621170057</c:v>
                </c:pt>
                <c:pt idx="515">
                  <c:v>-0.5846799104901399</c:v>
                </c:pt>
                <c:pt idx="516">
                  <c:v>-0.55753717031046868</c:v>
                </c:pt>
                <c:pt idx="517">
                  <c:v>-0.53184963200005653</c:v>
                </c:pt>
                <c:pt idx="518">
                  <c:v>-0.50760047067803116</c:v>
                </c:pt>
                <c:pt idx="519">
                  <c:v>-0.48477369853807978</c:v>
                </c:pt>
                <c:pt idx="520">
                  <c:v>-0.46335413325616698</c:v>
                </c:pt>
                <c:pt idx="521">
                  <c:v>-0.44332736634725634</c:v>
                </c:pt>
                <c:pt idx="522">
                  <c:v>-0.42467973129229325</c:v>
                </c:pt>
                <c:pt idx="523">
                  <c:v>-0.40739827125607647</c:v>
                </c:pt>
                <c:pt idx="524">
                  <c:v>-0.39147070621912738</c:v>
                </c:pt>
                <c:pt idx="525">
                  <c:v>-0.37688539935334542</c:v>
                </c:pt>
                <c:pt idx="526">
                  <c:v>-0.36363132248320856</c:v>
                </c:pt>
                <c:pt idx="527">
                  <c:v>-0.35169802049270077</c:v>
                </c:pt>
                <c:pt idx="528">
                  <c:v>-0.34107557456395921</c:v>
                </c:pt>
                <c:pt idx="529">
                  <c:v>-0.33175456416759069</c:v>
                </c:pt>
                <c:pt idx="530">
                  <c:v>-0.32372602776689308</c:v>
                </c:pt>
                <c:pt idx="531">
                  <c:v>-0.31698142224847259</c:v>
                </c:pt>
                <c:pt idx="532">
                  <c:v>-0.31151258114872254</c:v>
                </c:pt>
                <c:pt idx="533">
                  <c:v>-0.30731167180721197</c:v>
                </c:pt>
                <c:pt idx="534">
                  <c:v>-0.30437115164124401</c:v>
                </c:pt>
                <c:pt idx="535">
                  <c:v>-0.30268372379692376</c:v>
                </c:pt>
                <c:pt idx="536">
                  <c:v>-0.30224229248690448</c:v>
                </c:pt>
                <c:pt idx="537">
                  <c:v>-0.30303991836942046</c:v>
                </c:pt>
                <c:pt idx="538">
                  <c:v>-0.30506977435366095</c:v>
                </c:pt>
                <c:pt idx="539">
                  <c:v>-0.30832510223041126</c:v>
                </c:pt>
                <c:pt idx="540">
                  <c:v>-0.31279917052297623</c:v>
                </c:pt>
                <c:pt idx="541">
                  <c:v>-0.31848523393209538</c:v>
                </c:pt>
                <c:pt idx="542">
                  <c:v>-0.32537649471174285</c:v>
                </c:pt>
                <c:pt idx="543">
                  <c:v>-0.33346606626353209</c:v>
                </c:pt>
                <c:pt idx="544">
                  <c:v>-0.34274693917985488</c:v>
                </c:pt>
                <c:pt idx="545">
                  <c:v>-0.35321194990413468</c:v>
                </c:pt>
                <c:pt idx="546">
                  <c:v>-0.36485375211469373</c:v>
                </c:pt>
                <c:pt idx="547">
                  <c:v>-0.37766479088021371</c:v>
                </c:pt>
                <c:pt idx="548">
                  <c:v>-0.3916372795822024</c:v>
                </c:pt>
                <c:pt idx="549">
                  <c:v>-0.40676317955502928</c:v>
                </c:pt>
                <c:pt idx="550">
                  <c:v>-0.4230341823577205</c:v>
                </c:pt>
                <c:pt idx="551">
                  <c:v>-0.44044169456394805</c:v>
                </c:pt>
                <c:pt idx="552">
                  <c:v>-0.45897682493694641</c:v>
                </c:pt>
                <c:pt idx="553">
                  <c:v>-0.47863037384360618</c:v>
                </c:pt>
                <c:pt idx="554">
                  <c:v>-0.49939282475560803</c:v>
                </c:pt>
                <c:pt idx="555">
                  <c:v>-0.52125433768401264</c:v>
                </c:pt>
                <c:pt idx="556">
                  <c:v>-0.5442047443961171</c:v>
                </c:pt>
                <c:pt idx="557">
                  <c:v>-0.56823354526856407</c:v>
                </c:pt>
                <c:pt idx="558">
                  <c:v>-0.59332990763780946</c:v>
                </c:pt>
                <c:pt idx="559">
                  <c:v>-0.6194826655173824</c:v>
                </c:pt>
                <c:pt idx="560">
                  <c:v>-0.64668032056029923</c:v>
                </c:pt>
                <c:pt idx="561">
                  <c:v>-0.67491104415415482</c:v>
                </c:pt>
                <c:pt idx="562">
                  <c:v>-0.70416268054540576</c:v>
                </c:pt>
                <c:pt idx="563">
                  <c:v>-0.73442275089802789</c:v>
                </c:pt>
                <c:pt idx="564">
                  <c:v>-0.76567845819988711</c:v>
                </c:pt>
                <c:pt idx="565">
                  <c:v>-0.79791669293773348</c:v>
                </c:pt>
                <c:pt idx="566">
                  <c:v>-0.83112403946870228</c:v>
                </c:pt>
                <c:pt idx="567">
                  <c:v>-0.86528678302251261</c:v>
                </c:pt>
                <c:pt idx="568">
                  <c:v>-0.90039091727428122</c:v>
                </c:pt>
                <c:pt idx="569">
                  <c:v>-0.93642215243300586</c:v>
                </c:pt>
                <c:pt idx="570">
                  <c:v>-0.97336592379535192</c:v>
                </c:pt>
                <c:pt idx="571">
                  <c:v>-1.011207400718491</c:v>
                </c:pt>
                <c:pt idx="572">
                  <c:v>-1.0499314959693589</c:v>
                </c:pt>
                <c:pt idx="573">
                  <c:v>-1.0895228754109745</c:v>
                </c:pt>
                <c:pt idx="574">
                  <c:v>-1.1299659679893079</c:v>
                </c:pt>
                <c:pt idx="575">
                  <c:v>-1.1712449759867716</c:v>
                </c:pt>
                <c:pt idx="576">
                  <c:v>-1.2133438855106824</c:v>
                </c:pt>
                <c:pt idx="577">
                  <c:v>-1.2562464771870709</c:v>
                </c:pt>
                <c:pt idx="578">
                  <c:v>-1.2999363370320516</c:v>
                </c:pt>
                <c:pt idx="579">
                  <c:v>-1.3443968674745839</c:v>
                </c:pt>
                <c:pt idx="580">
                  <c:v>-1.3896112985059415</c:v>
                </c:pt>
                <c:pt idx="581">
                  <c:v>-1.4355626989325398</c:v>
                </c:pt>
                <c:pt idx="582">
                  <c:v>-1.4822339877099708</c:v>
                </c:pt>
                <c:pt idx="583">
                  <c:v>-1.529607945337224</c:v>
                </c:pt>
                <c:pt idx="584">
                  <c:v>-1.5776672252910933</c:v>
                </c:pt>
                <c:pt idx="585">
                  <c:v>-1.6263943654816853</c:v>
                </c:pt>
                <c:pt idx="586">
                  <c:v>-1.6757717997108785</c:v>
                </c:pt>
                <c:pt idx="587">
                  <c:v>-1.7257818691163476</c:v>
                </c:pt>
                <c:pt idx="588">
                  <c:v>-1.7764068335846066</c:v>
                </c:pt>
                <c:pt idx="589">
                  <c:v>-1.8276288831172021</c:v>
                </c:pt>
                <c:pt idx="590">
                  <c:v>-1.8794301491349508</c:v>
                </c:pt>
                <c:pt idx="591">
                  <c:v>-1.9317927157057417</c:v>
                </c:pt>
                <c:pt idx="592">
                  <c:v>-1.9846986306821053</c:v>
                </c:pt>
                <c:pt idx="593">
                  <c:v>-2.0381299167353588</c:v>
                </c:pt>
                <c:pt idx="594">
                  <c:v>-2.0920685822737797</c:v>
                </c:pt>
                <c:pt idx="595">
                  <c:v>-2.1464966322328016</c:v>
                </c:pt>
                <c:pt idx="596">
                  <c:v>-2.2013960787258733</c:v>
                </c:pt>
                <c:pt idx="597">
                  <c:v>-2.2567489515451347</c:v>
                </c:pt>
                <c:pt idx="598">
                  <c:v>-2.3125373085016534</c:v>
                </c:pt>
                <c:pt idx="599">
                  <c:v>-2.3687432455955197</c:v>
                </c:pt>
                <c:pt idx="600">
                  <c:v>-2.4253489070066134</c:v>
                </c:pt>
                <c:pt idx="601">
                  <c:v>-2.4823364948974023</c:v>
                </c:pt>
                <c:pt idx="602">
                  <c:v>-2.5396882790196793</c:v>
                </c:pt>
                <c:pt idx="603">
                  <c:v>-2.5973866061176163</c:v>
                </c:pt>
                <c:pt idx="604">
                  <c:v>-2.6554139091200781</c:v>
                </c:pt>
                <c:pt idx="605">
                  <c:v>-2.7137527161155877</c:v>
                </c:pt>
                <c:pt idx="606">
                  <c:v>-2.7723856591038918</c:v>
                </c:pt>
                <c:pt idx="607">
                  <c:v>-2.8312954825185019</c:v>
                </c:pt>
                <c:pt idx="608">
                  <c:v>-2.890465051515132</c:v>
                </c:pt>
                <c:pt idx="609">
                  <c:v>-2.9498773600213646</c:v>
                </c:pt>
                <c:pt idx="610">
                  <c:v>-3.0095155385433956</c:v>
                </c:pt>
                <c:pt idx="611">
                  <c:v>-3.069362861726145</c:v>
                </c:pt>
                <c:pt idx="612">
                  <c:v>-3.1294027556634614</c:v>
                </c:pt>
                <c:pt idx="613">
                  <c:v>-3.1896188049555909</c:v>
                </c:pt>
                <c:pt idx="614">
                  <c:v>-3.249994759511567</c:v>
                </c:pt>
                <c:pt idx="615">
                  <c:v>-3.310514541094463</c:v>
                </c:pt>
                <c:pt idx="616">
                  <c:v>-3.3711622496080529</c:v>
                </c:pt>
                <c:pt idx="617">
                  <c:v>-3.4319221691236446</c:v>
                </c:pt>
                <c:pt idx="618">
                  <c:v>-3.4927787736463634</c:v>
                </c:pt>
                <c:pt idx="619">
                  <c:v>-3.553716732620475</c:v>
                </c:pt>
                <c:pt idx="620">
                  <c:v>-3.6147209161737615</c:v>
                </c:pt>
                <c:pt idx="621">
                  <c:v>-3.6757764001012476</c:v>
                </c:pt>
                <c:pt idx="622">
                  <c:v>-3.7368684705890125</c:v>
                </c:pt>
                <c:pt idx="623">
                  <c:v>-3.7979826286790721</c:v>
                </c:pt>
                <c:pt idx="624">
                  <c:v>-3.8591045944766806</c:v>
                </c:pt>
                <c:pt idx="625">
                  <c:v>-3.9202203111017178</c:v>
                </c:pt>
                <c:pt idx="626">
                  <c:v>-3.9813159483860883</c:v>
                </c:pt>
                <c:pt idx="627">
                  <c:v>-4.0423779063193788</c:v>
                </c:pt>
                <c:pt idx="628">
                  <c:v>-4.103392818245287</c:v>
                </c:pt>
                <c:pt idx="629">
                  <c:v>-4.1643475538115551</c:v>
                </c:pt>
                <c:pt idx="630">
                  <c:v>-4.2252292216764493</c:v>
                </c:pt>
                <c:pt idx="631">
                  <c:v>-4.2860251719750222</c:v>
                </c:pt>
                <c:pt idx="632">
                  <c:v>-4.3467229985486089</c:v>
                </c:pt>
                <c:pt idx="633">
                  <c:v>-4.4073105409412525</c:v>
                </c:pt>
                <c:pt idx="634">
                  <c:v>-4.4677758861669101</c:v>
                </c:pt>
                <c:pt idx="635">
                  <c:v>-4.5281073702515089</c:v>
                </c:pt>
                <c:pt idx="636">
                  <c:v>-4.5882935795540671</c:v>
                </c:pt>
                <c:pt idx="637">
                  <c:v>-4.6483233518712721</c:v>
                </c:pt>
                <c:pt idx="638">
                  <c:v>-4.7081857773300122</c:v>
                </c:pt>
                <c:pt idx="639">
                  <c:v>-4.7678701990726129</c:v>
                </c:pt>
                <c:pt idx="640">
                  <c:v>-4.8273662137394426</c:v>
                </c:pt>
                <c:pt idx="641">
                  <c:v>-4.8866636717538867</c:v>
                </c:pt>
                <c:pt idx="642">
                  <c:v>-4.9457526774146565</c:v>
                </c:pt>
                <c:pt idx="643">
                  <c:v>-5.0046235888005191</c:v>
                </c:pt>
                <c:pt idx="644">
                  <c:v>-5.0632670174925796</c:v>
                </c:pt>
                <c:pt idx="645">
                  <c:v>-5.1216738281194409</c:v>
                </c:pt>
                <c:pt idx="646">
                  <c:v>-5.1798351377304428</c:v>
                </c:pt>
                <c:pt idx="647">
                  <c:v>-5.2377423150023432</c:v>
                </c:pt>
                <c:pt idx="648">
                  <c:v>-5.2953869792848636</c:v>
                </c:pt>
                <c:pt idx="649">
                  <c:v>-5.3527609994904291</c:v>
                </c:pt>
                <c:pt idx="650">
                  <c:v>-5.4098564928335815</c:v>
                </c:pt>
                <c:pt idx="651">
                  <c:v>-5.4666658234254752</c:v>
                </c:pt>
                <c:pt idx="652">
                  <c:v>-5.5231816007288899</c:v>
                </c:pt>
                <c:pt idx="653">
                  <c:v>-5.5793966778791981</c:v>
                </c:pt>
                <c:pt idx="654">
                  <c:v>-5.6353041498766885</c:v>
                </c:pt>
                <c:pt idx="655">
                  <c:v>-5.6908973516556545</c:v>
                </c:pt>
                <c:pt idx="656">
                  <c:v>-5.7461698560355812</c:v>
                </c:pt>
                <c:pt idx="657">
                  <c:v>-5.8011154715598057</c:v>
                </c:pt>
                <c:pt idx="658">
                  <c:v>-5.8557282402268767</c:v>
                </c:pt>
                <c:pt idx="659">
                  <c:v>-5.9100024351198908</c:v>
                </c:pt>
                <c:pt idx="660">
                  <c:v>-5.9639325579389872</c:v>
                </c:pt>
                <c:pt idx="661">
                  <c:v>-6.0175133364420921</c:v>
                </c:pt>
                <c:pt idx="662">
                  <c:v>-6.0707397217989971</c:v>
                </c:pt>
                <c:pt idx="663">
                  <c:v>-6.1236068858637696</c:v>
                </c:pt>
                <c:pt idx="664">
                  <c:v>-6.1761102183703729</c:v>
                </c:pt>
                <c:pt idx="665">
                  <c:v>-6.2282453240563331</c:v>
                </c:pt>
                <c:pt idx="666">
                  <c:v>-6.2800080197192631</c:v>
                </c:pt>
                <c:pt idx="667">
                  <c:v>-6.3313943312108396</c:v>
                </c:pt>
                <c:pt idx="668">
                  <c:v>-6.3824004903728522</c:v>
                </c:pt>
                <c:pt idx="669">
                  <c:v>-6.4330229319197718</c:v>
                </c:pt>
                <c:pt idx="670">
                  <c:v>-6.4832582902723077</c:v>
                </c:pt>
                <c:pt idx="671">
                  <c:v>-6.5331033963461165</c:v>
                </c:pt>
                <c:pt idx="672">
                  <c:v>-6.5825552743000042</c:v>
                </c:pt>
                <c:pt idx="673">
                  <c:v>-6.631611138247596</c:v>
                </c:pt>
                <c:pt idx="674">
                  <c:v>-6.6802683889364998</c:v>
                </c:pt>
                <c:pt idx="675">
                  <c:v>-6.7285246103989111</c:v>
                </c:pt>
                <c:pt idx="676">
                  <c:v>-6.7763775665772794</c:v>
                </c:pt>
                <c:pt idx="677">
                  <c:v>-6.8238251979289091</c:v>
                </c:pt>
                <c:pt idx="678">
                  <c:v>-6.8708656180128829</c:v>
                </c:pt>
                <c:pt idx="679">
                  <c:v>-6.9174971100628575</c:v>
                </c:pt>
                <c:pt idx="680">
                  <c:v>-6.9637181235490599</c:v>
                </c:pt>
                <c:pt idx="681">
                  <c:v>-7.0095272707327103</c:v>
                </c:pt>
                <c:pt idx="682">
                  <c:v>-7.0549233232159896</c:v>
                </c:pt>
                <c:pt idx="683">
                  <c:v>-7.0999052084906253</c:v>
                </c:pt>
                <c:pt idx="684">
                  <c:v>-7.1444720064879288</c:v>
                </c:pt>
                <c:pt idx="685">
                  <c:v>-7.1886229461331634</c:v>
                </c:pt>
                <c:pt idx="686">
                  <c:v>-7.2323574019068797</c:v>
                </c:pt>
                <c:pt idx="687">
                  <c:v>-7.2756748904158801</c:v>
                </c:pt>
                <c:pt idx="688">
                  <c:v>-7.3185750669762024</c:v>
                </c:pt>
                <c:pt idx="689">
                  <c:v>-7.3610577222106262</c:v>
                </c:pt>
                <c:pt idx="690">
                  <c:v>-7.4031227786628335</c:v>
                </c:pt>
                <c:pt idx="691">
                  <c:v>-7.4447702874305541</c:v>
                </c:pt>
                <c:pt idx="692">
                  <c:v>-7.4860004248196947</c:v>
                </c:pt>
                <c:pt idx="693">
                  <c:v>-7.5268134890213831</c:v>
                </c:pt>
                <c:pt idx="694">
                  <c:v>-7.567209896813913</c:v>
                </c:pt>
                <c:pt idx="695">
                  <c:v>-7.6071901802913313</c:v>
                </c:pt>
                <c:pt idx="696">
                  <c:v>-7.6467549836203306</c:v>
                </c:pt>
                <c:pt idx="697">
                  <c:v>-7.6859050598270677</c:v>
                </c:pt>
                <c:pt idx="698">
                  <c:v>-7.7246412676154552</c:v>
                </c:pt>
                <c:pt idx="699">
                  <c:v>-7.7629645682182664</c:v>
                </c:pt>
                <c:pt idx="700">
                  <c:v>-7.8008760222825115</c:v>
                </c:pt>
                <c:pt idx="701">
                  <c:v>-7.8383767867901559</c:v>
                </c:pt>
                <c:pt idx="702">
                  <c:v>-7.8754681120155601</c:v>
                </c:pt>
                <c:pt idx="703">
                  <c:v>-7.9121513385205402</c:v>
                </c:pt>
                <c:pt idx="704">
                  <c:v>-7.9484278941882049</c:v>
                </c:pt>
                <c:pt idx="705">
                  <c:v>-7.984299291296387</c:v>
                </c:pt>
                <c:pt idx="706">
                  <c:v>-8.0197671236316062</c:v>
                </c:pt>
                <c:pt idx="707">
                  <c:v>-8.0548330636443346</c:v>
                </c:pt>
                <c:pt idx="708">
                  <c:v>-8.0894988596462394</c:v>
                </c:pt>
                <c:pt idx="709">
                  <c:v>-8.1237663330501118</c:v>
                </c:pt>
                <c:pt idx="710">
                  <c:v>-8.1576373756530192</c:v>
                </c:pt>
                <c:pt idx="711">
                  <c:v>-8.1911139469632364</c:v>
                </c:pt>
                <c:pt idx="712">
                  <c:v>-8.2241980715714007</c:v>
                </c:pt>
                <c:pt idx="713">
                  <c:v>-8.2568918365662611</c:v>
                </c:pt>
                <c:pt idx="714">
                  <c:v>-8.2891973889954222</c:v>
                </c:pt>
                <c:pt idx="715">
                  <c:v>-8.3211169333713162</c:v>
                </c:pt>
                <c:pt idx="716">
                  <c:v>-8.3526527292226671</c:v>
                </c:pt>
                <c:pt idx="717">
                  <c:v>-8.3838070886916274</c:v>
                </c:pt>
                <c:pt idx="718">
                  <c:v>-8.4145823741766979</c:v>
                </c:pt>
                <c:pt idx="719">
                  <c:v>-8.4449809960215525</c:v>
                </c:pt>
                <c:pt idx="720">
                  <c:v>-8.4750054102497874</c:v>
                </c:pt>
                <c:pt idx="721">
                  <c:v>-8.5046581163455652</c:v>
                </c:pt>
                <c:pt idx="722">
                  <c:v>-8.5339416550801896</c:v>
                </c:pt>
                <c:pt idx="723">
                  <c:v>-8.5628586063844505</c:v>
                </c:pt>
                <c:pt idx="724">
                  <c:v>-8.5914115872666326</c:v>
                </c:pt>
                <c:pt idx="725">
                  <c:v>-8.6196032497760733</c:v>
                </c:pt>
                <c:pt idx="726">
                  <c:v>-8.647436279012048</c:v>
                </c:pt>
                <c:pt idx="727">
                  <c:v>-8.6749133911777072</c:v>
                </c:pt>
                <c:pt idx="728">
                  <c:v>-8.7020373316789659</c:v>
                </c:pt>
                <c:pt idx="729">
                  <c:v>-8.7288108732678378</c:v>
                </c:pt>
                <c:pt idx="730">
                  <c:v>-8.7552368142301322</c:v>
                </c:pt>
                <c:pt idx="731">
                  <c:v>-8.7813179766169984</c:v>
                </c:pt>
                <c:pt idx="732">
                  <c:v>-8.8070572045200528</c:v>
                </c:pt>
                <c:pt idx="733">
                  <c:v>-8.8324573623896701</c:v>
                </c:pt>
                <c:pt idx="734">
                  <c:v>-8.8575213333960257</c:v>
                </c:pt>
                <c:pt idx="735">
                  <c:v>-8.8822520178325011</c:v>
                </c:pt>
                <c:pt idx="736">
                  <c:v>-8.9066523315609452</c:v>
                </c:pt>
                <c:pt idx="737">
                  <c:v>-8.9307252044983816</c:v>
                </c:pt>
                <c:pt idx="738">
                  <c:v>-8.9544735791446417</c:v>
                </c:pt>
                <c:pt idx="739">
                  <c:v>-8.9779004091504682</c:v>
                </c:pt>
                <c:pt idx="740">
                  <c:v>-9.001008657925528</c:v>
                </c:pt>
                <c:pt idx="741">
                  <c:v>-9.0238012972858552</c:v>
                </c:pt>
                <c:pt idx="742">
                  <c:v>-9.0462813061402017</c:v>
                </c:pt>
                <c:pt idx="743">
                  <c:v>-9.0684516692146566</c:v>
                </c:pt>
                <c:pt idx="744">
                  <c:v>-9.0903153758151163</c:v>
                </c:pt>
                <c:pt idx="745">
                  <c:v>-9.1118754186269282</c:v>
                </c:pt>
                <c:pt idx="746">
                  <c:v>-9.1331347925512052</c:v>
                </c:pt>
                <c:pt idx="747">
                  <c:v>-9.1540964935771996</c:v>
                </c:pt>
                <c:pt idx="748">
                  <c:v>-9.1747635176901721</c:v>
                </c:pt>
                <c:pt idx="749">
                  <c:v>-9.1951388598141115</c:v>
                </c:pt>
                <c:pt idx="750">
                  <c:v>-9.2152255127888392</c:v>
                </c:pt>
                <c:pt idx="751">
                  <c:v>-9.2350264663807771</c:v>
                </c:pt>
                <c:pt idx="752">
                  <c:v>-9.2545447063267829</c:v>
                </c:pt>
                <c:pt idx="753">
                  <c:v>-9.2737832134105673</c:v>
                </c:pt>
                <c:pt idx="754">
                  <c:v>-9.2927449625709784</c:v>
                </c:pt>
                <c:pt idx="755">
                  <c:v>-9.3114329220415701</c:v>
                </c:pt>
                <c:pt idx="756">
                  <c:v>-9.3298500525209196</c:v>
                </c:pt>
                <c:pt idx="757">
                  <c:v>-9.3479993063729712</c:v>
                </c:pt>
                <c:pt idx="758">
                  <c:v>-9.3658836268569452</c:v>
                </c:pt>
                <c:pt idx="759">
                  <c:v>-9.3835059473860714</c:v>
                </c:pt>
                <c:pt idx="760">
                  <c:v>-9.4008691908146691</c:v>
                </c:pt>
                <c:pt idx="761">
                  <c:v>-9.4179762687529056</c:v>
                </c:pt>
                <c:pt idx="762">
                  <c:v>-9.4348300809086449</c:v>
                </c:pt>
                <c:pt idx="763">
                  <c:v>-9.451433514455859</c:v>
                </c:pt>
                <c:pt idx="764">
                  <c:v>-9.4677894434289041</c:v>
                </c:pt>
                <c:pt idx="765">
                  <c:v>-9.4839007281422258</c:v>
                </c:pt>
                <c:pt idx="766">
                  <c:v>-9.4997702146347613</c:v>
                </c:pt>
                <c:pt idx="767">
                  <c:v>-9.5154007341386091</c:v>
                </c:pt>
                <c:pt idx="768">
                  <c:v>-9.5307951025712772</c:v>
                </c:pt>
                <c:pt idx="769">
                  <c:v>-9.5459561200510663</c:v>
                </c:pt>
                <c:pt idx="770">
                  <c:v>-9.5608865704349046</c:v>
                </c:pt>
                <c:pt idx="771">
                  <c:v>-9.5755892208782321</c:v>
                </c:pt>
                <c:pt idx="772">
                  <c:v>-9.5900668214162259</c:v>
                </c:pt>
                <c:pt idx="773">
                  <c:v>-9.604322104565961</c:v>
                </c:pt>
                <c:pt idx="774">
                  <c:v>-9.6183577849489712</c:v>
                </c:pt>
                <c:pt idx="775">
                  <c:v>-9.6321765589335531</c:v>
                </c:pt>
                <c:pt idx="776">
                  <c:v>-9.6457811042964661</c:v>
                </c:pt>
                <c:pt idx="777">
                  <c:v>-9.6591740799034085</c:v>
                </c:pt>
                <c:pt idx="778">
                  <c:v>-9.6723581254078184</c:v>
                </c:pt>
                <c:pt idx="779">
                  <c:v>-9.6853358609674807</c:v>
                </c:pt>
                <c:pt idx="780">
                  <c:v>-9.6981098869784645</c:v>
                </c:pt>
                <c:pt idx="781">
                  <c:v>-9.7106827838258987</c:v>
                </c:pt>
                <c:pt idx="782">
                  <c:v>-9.7230571116511495</c:v>
                </c:pt>
                <c:pt idx="783">
                  <c:v>-9.7352354101348606</c:v>
                </c:pt>
                <c:pt idx="784">
                  <c:v>-9.7472201982955227</c:v>
                </c:pt>
                <c:pt idx="785">
                  <c:v>-9.7590139743029685</c:v>
                </c:pt>
                <c:pt idx="786">
                  <c:v>-9.7706192153064624</c:v>
                </c:pt>
                <c:pt idx="787">
                  <c:v>-9.7820383772769706</c:v>
                </c:pt>
                <c:pt idx="788">
                  <c:v>-9.7932738948630504</c:v>
                </c:pt>
                <c:pt idx="789">
                  <c:v>-9.8043281812600895</c:v>
                </c:pt>
                <c:pt idx="790">
                  <c:v>-9.8152036280924051</c:v>
                </c:pt>
                <c:pt idx="791">
                  <c:v>-9.8259026053078387</c:v>
                </c:pt>
                <c:pt idx="792">
                  <c:v>-9.8364274610843729</c:v>
                </c:pt>
                <c:pt idx="793">
                  <c:v>-9.8467805217485331</c:v>
                </c:pt>
                <c:pt idx="794">
                  <c:v>-9.8569640917050592</c:v>
                </c:pt>
                <c:pt idx="795">
                  <c:v>-9.866980453377499</c:v>
                </c:pt>
                <c:pt idx="796">
                  <c:v>-9.8768318671594635</c:v>
                </c:pt>
                <c:pt idx="797">
                  <c:v>-9.8865205713760336</c:v>
                </c:pt>
                <c:pt idx="798">
                  <c:v>-9.896048782255102</c:v>
                </c:pt>
                <c:pt idx="799">
                  <c:v>-9.9054186939082403</c:v>
                </c:pt>
                <c:pt idx="800">
                  <c:v>-9.9146324783207636</c:v>
                </c:pt>
                <c:pt idx="801">
                  <c:v>-9.9146415333542439</c:v>
                </c:pt>
                <c:pt idx="802">
                  <c:v>-9.9146505882363449</c:v>
                </c:pt>
                <c:pt idx="803">
                  <c:v>-9.9146596429670559</c:v>
                </c:pt>
                <c:pt idx="804">
                  <c:v>-9.9146686975464</c:v>
                </c:pt>
                <c:pt idx="805">
                  <c:v>-9.9146777519743683</c:v>
                </c:pt>
                <c:pt idx="806">
                  <c:v>-9.9146868062509679</c:v>
                </c:pt>
                <c:pt idx="807">
                  <c:v>-9.9146958603761881</c:v>
                </c:pt>
                <c:pt idx="808">
                  <c:v>-9.9147049143500467</c:v>
                </c:pt>
                <c:pt idx="809">
                  <c:v>-9.9147139681725349</c:v>
                </c:pt>
                <c:pt idx="810">
                  <c:v>-9.9147230218436722</c:v>
                </c:pt>
                <c:pt idx="811">
                  <c:v>-9.9147320753634389</c:v>
                </c:pt>
                <c:pt idx="812">
                  <c:v>-9.9147411287318459</c:v>
                </c:pt>
                <c:pt idx="813">
                  <c:v>-9.9147501819489019</c:v>
                </c:pt>
                <c:pt idx="814">
                  <c:v>-9.9147592350145928</c:v>
                </c:pt>
                <c:pt idx="815">
                  <c:v>-9.9147682879289345</c:v>
                </c:pt>
                <c:pt idx="816">
                  <c:v>-9.9147773406919288</c:v>
                </c:pt>
                <c:pt idx="817">
                  <c:v>-9.914786393303574</c:v>
                </c:pt>
                <c:pt idx="818">
                  <c:v>-9.9147954457638647</c:v>
                </c:pt>
                <c:pt idx="819">
                  <c:v>-9.9148044980728223</c:v>
                </c:pt>
                <c:pt idx="820">
                  <c:v>-9.9148135502304271</c:v>
                </c:pt>
                <c:pt idx="821">
                  <c:v>-9.9148226022366952</c:v>
                </c:pt>
                <c:pt idx="822">
                  <c:v>-9.9148316540916213</c:v>
                </c:pt>
                <c:pt idx="823">
                  <c:v>-9.9148407057952213</c:v>
                </c:pt>
                <c:pt idx="824">
                  <c:v>-9.9148497573474756</c:v>
                </c:pt>
                <c:pt idx="825">
                  <c:v>-9.9148588087484057</c:v>
                </c:pt>
                <c:pt idx="826">
                  <c:v>-9.9148678599980009</c:v>
                </c:pt>
                <c:pt idx="827">
                  <c:v>-9.9148769110962682</c:v>
                </c:pt>
                <c:pt idx="828">
                  <c:v>-9.914885962043213</c:v>
                </c:pt>
                <c:pt idx="829">
                  <c:v>-9.9148950128388265</c:v>
                </c:pt>
                <c:pt idx="830">
                  <c:v>-9.9149040634831245</c:v>
                </c:pt>
                <c:pt idx="831">
                  <c:v>-9.9149131139761071</c:v>
                </c:pt>
                <c:pt idx="832">
                  <c:v>-9.9149221643177583</c:v>
                </c:pt>
                <c:pt idx="833">
                  <c:v>-9.9149312145081012</c:v>
                </c:pt>
                <c:pt idx="834">
                  <c:v>-9.9149402645471305</c:v>
                </c:pt>
                <c:pt idx="835">
                  <c:v>-9.9149493144348515</c:v>
                </c:pt>
                <c:pt idx="836">
                  <c:v>-9.9149583641712589</c:v>
                </c:pt>
                <c:pt idx="837">
                  <c:v>-9.914967413756365</c:v>
                </c:pt>
                <c:pt idx="838">
                  <c:v>-9.9149764631901629</c:v>
                </c:pt>
                <c:pt idx="839">
                  <c:v>-9.9149855124726507</c:v>
                </c:pt>
                <c:pt idx="840">
                  <c:v>-9.9149945616038444</c:v>
                </c:pt>
                <c:pt idx="841">
                  <c:v>-9.9150036105837405</c:v>
                </c:pt>
                <c:pt idx="842">
                  <c:v>-9.9150126594123353</c:v>
                </c:pt>
                <c:pt idx="843">
                  <c:v>-9.9150217080896361</c:v>
                </c:pt>
                <c:pt idx="844">
                  <c:v>-9.9150307566156464</c:v>
                </c:pt>
                <c:pt idx="845">
                  <c:v>-9.9150398049903679</c:v>
                </c:pt>
                <c:pt idx="846">
                  <c:v>-9.915048853213797</c:v>
                </c:pt>
                <c:pt idx="847">
                  <c:v>-9.9150579012859392</c:v>
                </c:pt>
                <c:pt idx="848">
                  <c:v>-9.9150669492067998</c:v>
                </c:pt>
                <c:pt idx="849">
                  <c:v>-9.9150759969763822</c:v>
                </c:pt>
                <c:pt idx="850">
                  <c:v>-9.9150850445946777</c:v>
                </c:pt>
                <c:pt idx="851">
                  <c:v>-9.9150940920616986</c:v>
                </c:pt>
                <c:pt idx="852">
                  <c:v>-9.9151031393774449</c:v>
                </c:pt>
                <c:pt idx="853">
                  <c:v>-9.9151121865419114</c:v>
                </c:pt>
                <c:pt idx="854">
                  <c:v>-9.9151212335551104</c:v>
                </c:pt>
                <c:pt idx="855">
                  <c:v>-9.9151302804170385</c:v>
                </c:pt>
                <c:pt idx="856">
                  <c:v>-9.9151393271276991</c:v>
                </c:pt>
                <c:pt idx="857">
                  <c:v>-9.9151483736870958</c:v>
                </c:pt>
                <c:pt idx="858">
                  <c:v>-9.915157420095225</c:v>
                </c:pt>
                <c:pt idx="859">
                  <c:v>-9.9151664663520904</c:v>
                </c:pt>
                <c:pt idx="860">
                  <c:v>-9.9151755124577061</c:v>
                </c:pt>
                <c:pt idx="861">
                  <c:v>-9.9151845584120579</c:v>
                </c:pt>
                <c:pt idx="862">
                  <c:v>-9.9151936042151583</c:v>
                </c:pt>
                <c:pt idx="863">
                  <c:v>-9.9152026498670054</c:v>
                </c:pt>
                <c:pt idx="864">
                  <c:v>-9.9152116953675993</c:v>
                </c:pt>
                <c:pt idx="865">
                  <c:v>-9.9152207407169435</c:v>
                </c:pt>
                <c:pt idx="866">
                  <c:v>-9.9152297859150451</c:v>
                </c:pt>
                <c:pt idx="867">
                  <c:v>-9.9152388309618971</c:v>
                </c:pt>
                <c:pt idx="868">
                  <c:v>-9.9152478758575064</c:v>
                </c:pt>
                <c:pt idx="869">
                  <c:v>-9.9152569206018804</c:v>
                </c:pt>
                <c:pt idx="870">
                  <c:v>-9.9152659651950117</c:v>
                </c:pt>
                <c:pt idx="871">
                  <c:v>-9.9152750096369076</c:v>
                </c:pt>
                <c:pt idx="872">
                  <c:v>-9.9152840539275697</c:v>
                </c:pt>
                <c:pt idx="873">
                  <c:v>-9.9152930980669982</c:v>
                </c:pt>
                <c:pt idx="874">
                  <c:v>-9.9153021420552019</c:v>
                </c:pt>
                <c:pt idx="875">
                  <c:v>-9.9153111858921736</c:v>
                </c:pt>
                <c:pt idx="876">
                  <c:v>-9.9153202295779188</c:v>
                </c:pt>
                <c:pt idx="877">
                  <c:v>-9.9153292731124392</c:v>
                </c:pt>
                <c:pt idx="878">
                  <c:v>-9.91533831649574</c:v>
                </c:pt>
                <c:pt idx="879">
                  <c:v>-9.9153473597278197</c:v>
                </c:pt>
                <c:pt idx="880">
                  <c:v>-9.9153564028086851</c:v>
                </c:pt>
                <c:pt idx="881">
                  <c:v>-9.9153654457383276</c:v>
                </c:pt>
                <c:pt idx="882">
                  <c:v>-9.9153744885167647</c:v>
                </c:pt>
                <c:pt idx="883">
                  <c:v>-9.9153835311439877</c:v>
                </c:pt>
                <c:pt idx="884">
                  <c:v>-9.9153925736199966</c:v>
                </c:pt>
                <c:pt idx="885">
                  <c:v>-9.9154016159448037</c:v>
                </c:pt>
                <c:pt idx="886">
                  <c:v>-9.9154106581184056</c:v>
                </c:pt>
                <c:pt idx="887">
                  <c:v>-9.9154197001408022</c:v>
                </c:pt>
                <c:pt idx="888">
                  <c:v>-9.9154287420120006</c:v>
                </c:pt>
                <c:pt idx="889">
                  <c:v>-9.915437783731992</c:v>
                </c:pt>
                <c:pt idx="890">
                  <c:v>-9.9154468253007959</c:v>
                </c:pt>
                <c:pt idx="891">
                  <c:v>-9.9154558667184087</c:v>
                </c:pt>
                <c:pt idx="892">
                  <c:v>-9.9154649079848198</c:v>
                </c:pt>
                <c:pt idx="893">
                  <c:v>-9.9154739491000452</c:v>
                </c:pt>
                <c:pt idx="894">
                  <c:v>-9.9154829900640742</c:v>
                </c:pt>
                <c:pt idx="895">
                  <c:v>-9.9154920308769245</c:v>
                </c:pt>
                <c:pt idx="896">
                  <c:v>-9.9155010715385909</c:v>
                </c:pt>
                <c:pt idx="897">
                  <c:v>-9.9155101120490698</c:v>
                </c:pt>
                <c:pt idx="898">
                  <c:v>-9.9155191524083754</c:v>
                </c:pt>
                <c:pt idx="899">
                  <c:v>-9.9155281926164989</c:v>
                </c:pt>
                <c:pt idx="900">
                  <c:v>-9.9155372326734419</c:v>
                </c:pt>
                <c:pt idx="901">
                  <c:v>-9.9155462725792169</c:v>
                </c:pt>
                <c:pt idx="902">
                  <c:v>-9.9155553123338223</c:v>
                </c:pt>
                <c:pt idx="903">
                  <c:v>-9.9155643519372543</c:v>
                </c:pt>
                <c:pt idx="904">
                  <c:v>-9.9155733913895183</c:v>
                </c:pt>
                <c:pt idx="905">
                  <c:v>-9.915582430690618</c:v>
                </c:pt>
                <c:pt idx="906">
                  <c:v>-9.9155914698405532</c:v>
                </c:pt>
                <c:pt idx="907">
                  <c:v>-9.9156005088393311</c:v>
                </c:pt>
                <c:pt idx="908">
                  <c:v>-9.9156095476869446</c:v>
                </c:pt>
                <c:pt idx="909">
                  <c:v>-9.9156185863834043</c:v>
                </c:pt>
                <c:pt idx="910">
                  <c:v>-9.9156276249287085</c:v>
                </c:pt>
                <c:pt idx="911">
                  <c:v>-9.9156366633228625</c:v>
                </c:pt>
                <c:pt idx="912">
                  <c:v>-9.9156457015658575</c:v>
                </c:pt>
                <c:pt idx="913">
                  <c:v>-9.9156547396577075</c:v>
                </c:pt>
                <c:pt idx="914">
                  <c:v>-9.9156637775984109</c:v>
                </c:pt>
                <c:pt idx="915">
                  <c:v>-9.9156728153879712</c:v>
                </c:pt>
                <c:pt idx="916">
                  <c:v>-9.9156818530263884</c:v>
                </c:pt>
                <c:pt idx="917">
                  <c:v>-9.9156908905136625</c:v>
                </c:pt>
                <c:pt idx="918">
                  <c:v>-9.9156999278497988</c:v>
                </c:pt>
                <c:pt idx="919">
                  <c:v>-9.9157089650348045</c:v>
                </c:pt>
                <c:pt idx="920">
                  <c:v>-9.9157180020686724</c:v>
                </c:pt>
                <c:pt idx="921">
                  <c:v>-9.9157270389514025</c:v>
                </c:pt>
                <c:pt idx="922">
                  <c:v>-9.9157360756830073</c:v>
                </c:pt>
                <c:pt idx="923">
                  <c:v>-9.915745112263485</c:v>
                </c:pt>
                <c:pt idx="924">
                  <c:v>-9.9157541486928338</c:v>
                </c:pt>
                <c:pt idx="925">
                  <c:v>-9.9157631849710661</c:v>
                </c:pt>
                <c:pt idx="926">
                  <c:v>-9.9157722210981714</c:v>
                </c:pt>
                <c:pt idx="927">
                  <c:v>-9.915781257074153</c:v>
                </c:pt>
                <c:pt idx="928">
                  <c:v>-9.91579029289902</c:v>
                </c:pt>
                <c:pt idx="929">
                  <c:v>-9.9157993285727759</c:v>
                </c:pt>
                <c:pt idx="930">
                  <c:v>-9.9158083640954189</c:v>
                </c:pt>
                <c:pt idx="931">
                  <c:v>-9.9158173994669454</c:v>
                </c:pt>
                <c:pt idx="932">
                  <c:v>-9.9158264346873626</c:v>
                </c:pt>
                <c:pt idx="933">
                  <c:v>-9.9158354697566722</c:v>
                </c:pt>
                <c:pt idx="934">
                  <c:v>-9.9158445046748795</c:v>
                </c:pt>
                <c:pt idx="935">
                  <c:v>-9.9158535394419829</c:v>
                </c:pt>
                <c:pt idx="936">
                  <c:v>-9.9158625740579858</c:v>
                </c:pt>
                <c:pt idx="937">
                  <c:v>-9.9158716085228935</c:v>
                </c:pt>
                <c:pt idx="938">
                  <c:v>-9.9158806428366972</c:v>
                </c:pt>
                <c:pt idx="939">
                  <c:v>-9.9158896769994147</c:v>
                </c:pt>
                <c:pt idx="940">
                  <c:v>-9.9158987110110335</c:v>
                </c:pt>
                <c:pt idx="941">
                  <c:v>-9.9159077448715642</c:v>
                </c:pt>
                <c:pt idx="942">
                  <c:v>-9.9159167785810052</c:v>
                </c:pt>
                <c:pt idx="943">
                  <c:v>-9.9159258121393563</c:v>
                </c:pt>
                <c:pt idx="944">
                  <c:v>-9.9159348455466265</c:v>
                </c:pt>
                <c:pt idx="945">
                  <c:v>-9.9159438788028158</c:v>
                </c:pt>
                <c:pt idx="946">
                  <c:v>-9.9159529119079206</c:v>
                </c:pt>
                <c:pt idx="947">
                  <c:v>-9.9159619448619498</c:v>
                </c:pt>
                <c:pt idx="948">
                  <c:v>-9.9159709776649088</c:v>
                </c:pt>
                <c:pt idx="949">
                  <c:v>-9.9159800103167832</c:v>
                </c:pt>
                <c:pt idx="950">
                  <c:v>-9.9159890428175927</c:v>
                </c:pt>
                <c:pt idx="951">
                  <c:v>-9.915998075167332</c:v>
                </c:pt>
                <c:pt idx="952">
                  <c:v>-9.9160071073660028</c:v>
                </c:pt>
                <c:pt idx="953">
                  <c:v>-9.9160161394136086</c:v>
                </c:pt>
                <c:pt idx="954">
                  <c:v>-9.9160251713101477</c:v>
                </c:pt>
                <c:pt idx="955">
                  <c:v>-9.9160342030556272</c:v>
                </c:pt>
                <c:pt idx="956">
                  <c:v>-9.9160432346500507</c:v>
                </c:pt>
                <c:pt idx="957">
                  <c:v>-9.9160522660934198</c:v>
                </c:pt>
                <c:pt idx="958">
                  <c:v>-9.9160612973857258</c:v>
                </c:pt>
                <c:pt idx="959">
                  <c:v>-9.9160703285269776</c:v>
                </c:pt>
                <c:pt idx="960">
                  <c:v>-9.9160793595171839</c:v>
                </c:pt>
                <c:pt idx="961">
                  <c:v>-9.9160883903563395</c:v>
                </c:pt>
                <c:pt idx="962">
                  <c:v>-9.9160974210444497</c:v>
                </c:pt>
                <c:pt idx="963">
                  <c:v>-9.9161064515815163</c:v>
                </c:pt>
                <c:pt idx="964">
                  <c:v>-9.9161154819675374</c:v>
                </c:pt>
                <c:pt idx="965">
                  <c:v>-9.9161245122025221</c:v>
                </c:pt>
                <c:pt idx="966">
                  <c:v>-9.9161335422864685</c:v>
                </c:pt>
                <c:pt idx="967">
                  <c:v>-9.9161425722193783</c:v>
                </c:pt>
                <c:pt idx="968">
                  <c:v>-9.9161516020012481</c:v>
                </c:pt>
                <c:pt idx="969">
                  <c:v>-9.9161606316320903</c:v>
                </c:pt>
                <c:pt idx="970">
                  <c:v>-9.9161696611118995</c:v>
                </c:pt>
                <c:pt idx="971">
                  <c:v>-9.916178690440681</c:v>
                </c:pt>
                <c:pt idx="972">
                  <c:v>-9.9161877196184385</c:v>
                </c:pt>
                <c:pt idx="973">
                  <c:v>-9.9161967486451683</c:v>
                </c:pt>
                <c:pt idx="974">
                  <c:v>-9.9162057775208812</c:v>
                </c:pt>
                <c:pt idx="975">
                  <c:v>-9.9162148062455682</c:v>
                </c:pt>
                <c:pt idx="976">
                  <c:v>-9.9162238348192435</c:v>
                </c:pt>
                <c:pt idx="977">
                  <c:v>-9.9162328632419001</c:v>
                </c:pt>
                <c:pt idx="978">
                  <c:v>-9.9162418915135433</c:v>
                </c:pt>
                <c:pt idx="979">
                  <c:v>-9.9162509196341801</c:v>
                </c:pt>
                <c:pt idx="980">
                  <c:v>-9.9162599476038018</c:v>
                </c:pt>
                <c:pt idx="981">
                  <c:v>-9.9162689754224171</c:v>
                </c:pt>
                <c:pt idx="982">
                  <c:v>-9.9162780030900279</c:v>
                </c:pt>
                <c:pt idx="983">
                  <c:v>-9.916287030606636</c:v>
                </c:pt>
                <c:pt idx="984">
                  <c:v>-9.9162960579722501</c:v>
                </c:pt>
                <c:pt idx="985">
                  <c:v>-9.9163050851868526</c:v>
                </c:pt>
                <c:pt idx="986">
                  <c:v>-9.9163141122504666</c:v>
                </c:pt>
                <c:pt idx="987">
                  <c:v>-9.9163231391630795</c:v>
                </c:pt>
                <c:pt idx="988">
                  <c:v>-9.9163321659247075</c:v>
                </c:pt>
                <c:pt idx="989">
                  <c:v>-9.9163411925353415</c:v>
                </c:pt>
                <c:pt idx="990">
                  <c:v>-9.916350218994987</c:v>
                </c:pt>
                <c:pt idx="991">
                  <c:v>-9.9163592453036422</c:v>
                </c:pt>
                <c:pt idx="992">
                  <c:v>-9.9163682714613195</c:v>
                </c:pt>
                <c:pt idx="993">
                  <c:v>-9.9163772974680136</c:v>
                </c:pt>
                <c:pt idx="994">
                  <c:v>-9.9163863233237244</c:v>
                </c:pt>
                <c:pt idx="995">
                  <c:v>-9.9163953490284591</c:v>
                </c:pt>
                <c:pt idx="996">
                  <c:v>-9.9164043745822195</c:v>
                </c:pt>
                <c:pt idx="997">
                  <c:v>-9.9164133999849966</c:v>
                </c:pt>
                <c:pt idx="998">
                  <c:v>-9.9164224252368136</c:v>
                </c:pt>
                <c:pt idx="999">
                  <c:v>-9.9164314503376545</c:v>
                </c:pt>
                <c:pt idx="1000">
                  <c:v>-9.9164404752875299</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35.900000000000198</c:v>
                </c:pt>
                <c:pt idx="720">
                  <c:v>36.000000000000199</c:v>
                </c:pt>
                <c:pt idx="721">
                  <c:v>36.1000000000002</c:v>
                </c:pt>
                <c:pt idx="722">
                  <c:v>36.200000000000202</c:v>
                </c:pt>
                <c:pt idx="723">
                  <c:v>36.300000000000203</c:v>
                </c:pt>
                <c:pt idx="724">
                  <c:v>36.400000000000205</c:v>
                </c:pt>
                <c:pt idx="725">
                  <c:v>36.500000000000206</c:v>
                </c:pt>
                <c:pt idx="726">
                  <c:v>36.600000000000207</c:v>
                </c:pt>
                <c:pt idx="727">
                  <c:v>36.700000000000209</c:v>
                </c:pt>
                <c:pt idx="728">
                  <c:v>36.80000000000021</c:v>
                </c:pt>
                <c:pt idx="729">
                  <c:v>36.900000000000212</c:v>
                </c:pt>
                <c:pt idx="730">
                  <c:v>37.000000000000213</c:v>
                </c:pt>
                <c:pt idx="731">
                  <c:v>37.100000000000215</c:v>
                </c:pt>
                <c:pt idx="732">
                  <c:v>37.200000000000216</c:v>
                </c:pt>
                <c:pt idx="733">
                  <c:v>37.300000000000217</c:v>
                </c:pt>
                <c:pt idx="734">
                  <c:v>37.400000000000219</c:v>
                </c:pt>
                <c:pt idx="735">
                  <c:v>37.50000000000022</c:v>
                </c:pt>
                <c:pt idx="736">
                  <c:v>37.600000000000222</c:v>
                </c:pt>
                <c:pt idx="737">
                  <c:v>37.700000000000223</c:v>
                </c:pt>
                <c:pt idx="738">
                  <c:v>37.800000000000225</c:v>
                </c:pt>
                <c:pt idx="739">
                  <c:v>37.900000000000226</c:v>
                </c:pt>
                <c:pt idx="740">
                  <c:v>38.000000000000227</c:v>
                </c:pt>
                <c:pt idx="741">
                  <c:v>38.100000000000229</c:v>
                </c:pt>
                <c:pt idx="742">
                  <c:v>38.20000000000023</c:v>
                </c:pt>
                <c:pt idx="743">
                  <c:v>38.300000000000232</c:v>
                </c:pt>
                <c:pt idx="744">
                  <c:v>38.400000000000233</c:v>
                </c:pt>
                <c:pt idx="745">
                  <c:v>38.500000000000234</c:v>
                </c:pt>
                <c:pt idx="746">
                  <c:v>38.600000000000236</c:v>
                </c:pt>
                <c:pt idx="747">
                  <c:v>38.700000000000237</c:v>
                </c:pt>
                <c:pt idx="748">
                  <c:v>38.800000000000239</c:v>
                </c:pt>
                <c:pt idx="749">
                  <c:v>38.90000000000024</c:v>
                </c:pt>
                <c:pt idx="750">
                  <c:v>39.000000000000242</c:v>
                </c:pt>
                <c:pt idx="751">
                  <c:v>39.100000000000243</c:v>
                </c:pt>
                <c:pt idx="752">
                  <c:v>39.200000000000244</c:v>
                </c:pt>
                <c:pt idx="753">
                  <c:v>39.300000000000246</c:v>
                </c:pt>
                <c:pt idx="754">
                  <c:v>39.400000000000247</c:v>
                </c:pt>
                <c:pt idx="755">
                  <c:v>39.500000000000249</c:v>
                </c:pt>
                <c:pt idx="756">
                  <c:v>39.60000000000025</c:v>
                </c:pt>
                <c:pt idx="757">
                  <c:v>39.700000000000252</c:v>
                </c:pt>
                <c:pt idx="758">
                  <c:v>39.800000000000253</c:v>
                </c:pt>
                <c:pt idx="759">
                  <c:v>39.900000000000254</c:v>
                </c:pt>
                <c:pt idx="760">
                  <c:v>40.000000000000256</c:v>
                </c:pt>
                <c:pt idx="761">
                  <c:v>40.100000000000257</c:v>
                </c:pt>
                <c:pt idx="762">
                  <c:v>40.200000000000259</c:v>
                </c:pt>
                <c:pt idx="763">
                  <c:v>40.30000000000026</c:v>
                </c:pt>
                <c:pt idx="764">
                  <c:v>40.400000000000261</c:v>
                </c:pt>
                <c:pt idx="765">
                  <c:v>40.500000000000263</c:v>
                </c:pt>
                <c:pt idx="766">
                  <c:v>40.600000000000264</c:v>
                </c:pt>
                <c:pt idx="767">
                  <c:v>40.700000000000266</c:v>
                </c:pt>
                <c:pt idx="768">
                  <c:v>40.800000000000267</c:v>
                </c:pt>
                <c:pt idx="769">
                  <c:v>40.900000000000269</c:v>
                </c:pt>
                <c:pt idx="770">
                  <c:v>41.00000000000027</c:v>
                </c:pt>
                <c:pt idx="771">
                  <c:v>41.100000000000271</c:v>
                </c:pt>
                <c:pt idx="772">
                  <c:v>41.200000000000273</c:v>
                </c:pt>
                <c:pt idx="773">
                  <c:v>41.300000000000274</c:v>
                </c:pt>
                <c:pt idx="774">
                  <c:v>41.400000000000276</c:v>
                </c:pt>
                <c:pt idx="775">
                  <c:v>41.500000000000277</c:v>
                </c:pt>
                <c:pt idx="776">
                  <c:v>41.600000000000279</c:v>
                </c:pt>
                <c:pt idx="777">
                  <c:v>41.70000000000028</c:v>
                </c:pt>
                <c:pt idx="778">
                  <c:v>41.800000000000281</c:v>
                </c:pt>
                <c:pt idx="779">
                  <c:v>41.900000000000283</c:v>
                </c:pt>
                <c:pt idx="780">
                  <c:v>42.000000000000284</c:v>
                </c:pt>
                <c:pt idx="781">
                  <c:v>42.100000000000286</c:v>
                </c:pt>
                <c:pt idx="782">
                  <c:v>42.200000000000287</c:v>
                </c:pt>
                <c:pt idx="783">
                  <c:v>42.300000000000288</c:v>
                </c:pt>
                <c:pt idx="784">
                  <c:v>42.40000000000029</c:v>
                </c:pt>
                <c:pt idx="785">
                  <c:v>42.500000000000291</c:v>
                </c:pt>
                <c:pt idx="786">
                  <c:v>42.600000000000293</c:v>
                </c:pt>
                <c:pt idx="787">
                  <c:v>42.700000000000294</c:v>
                </c:pt>
                <c:pt idx="788">
                  <c:v>42.800000000000296</c:v>
                </c:pt>
                <c:pt idx="789">
                  <c:v>42.900000000000297</c:v>
                </c:pt>
                <c:pt idx="790">
                  <c:v>43.000000000000298</c:v>
                </c:pt>
                <c:pt idx="791">
                  <c:v>43.1000000000003</c:v>
                </c:pt>
                <c:pt idx="792">
                  <c:v>43.200000000000301</c:v>
                </c:pt>
                <c:pt idx="793">
                  <c:v>43.300000000000303</c:v>
                </c:pt>
                <c:pt idx="794">
                  <c:v>43.400000000000304</c:v>
                </c:pt>
                <c:pt idx="795">
                  <c:v>43.500000000000306</c:v>
                </c:pt>
                <c:pt idx="796">
                  <c:v>43.600000000000307</c:v>
                </c:pt>
                <c:pt idx="797">
                  <c:v>43.700000000000308</c:v>
                </c:pt>
                <c:pt idx="798">
                  <c:v>43.80000000000031</c:v>
                </c:pt>
                <c:pt idx="799">
                  <c:v>43.900000000000311</c:v>
                </c:pt>
                <c:pt idx="800">
                  <c:v>43.900100000000315</c:v>
                </c:pt>
                <c:pt idx="801">
                  <c:v>43.900200000000318</c:v>
                </c:pt>
                <c:pt idx="802">
                  <c:v>43.900300000000321</c:v>
                </c:pt>
                <c:pt idx="803">
                  <c:v>43.900400000000324</c:v>
                </c:pt>
                <c:pt idx="804">
                  <c:v>43.900500000000328</c:v>
                </c:pt>
                <c:pt idx="805">
                  <c:v>43.900600000000331</c:v>
                </c:pt>
                <c:pt idx="806">
                  <c:v>43.900700000000334</c:v>
                </c:pt>
                <c:pt idx="807">
                  <c:v>43.900800000000338</c:v>
                </c:pt>
                <c:pt idx="808">
                  <c:v>43.900900000000341</c:v>
                </c:pt>
                <c:pt idx="809">
                  <c:v>43.901000000000344</c:v>
                </c:pt>
                <c:pt idx="810">
                  <c:v>43.901100000000348</c:v>
                </c:pt>
                <c:pt idx="811">
                  <c:v>43.901200000000351</c:v>
                </c:pt>
                <c:pt idx="812">
                  <c:v>43.901300000000354</c:v>
                </c:pt>
                <c:pt idx="813">
                  <c:v>43.901400000000358</c:v>
                </c:pt>
                <c:pt idx="814">
                  <c:v>43.901500000000361</c:v>
                </c:pt>
                <c:pt idx="815">
                  <c:v>43.901600000000364</c:v>
                </c:pt>
                <c:pt idx="816">
                  <c:v>43.901700000000368</c:v>
                </c:pt>
                <c:pt idx="817">
                  <c:v>43.901800000000371</c:v>
                </c:pt>
                <c:pt idx="818">
                  <c:v>43.901900000000374</c:v>
                </c:pt>
                <c:pt idx="819">
                  <c:v>43.902000000000378</c:v>
                </c:pt>
                <c:pt idx="820">
                  <c:v>43.902100000000381</c:v>
                </c:pt>
                <c:pt idx="821">
                  <c:v>43.902200000000384</c:v>
                </c:pt>
                <c:pt idx="822">
                  <c:v>43.902300000000388</c:v>
                </c:pt>
                <c:pt idx="823">
                  <c:v>43.902400000000391</c:v>
                </c:pt>
                <c:pt idx="824">
                  <c:v>43.902500000000394</c:v>
                </c:pt>
                <c:pt idx="825">
                  <c:v>43.902600000000398</c:v>
                </c:pt>
                <c:pt idx="826">
                  <c:v>43.902700000000401</c:v>
                </c:pt>
                <c:pt idx="827">
                  <c:v>43.902800000000404</c:v>
                </c:pt>
                <c:pt idx="828">
                  <c:v>43.902900000000407</c:v>
                </c:pt>
                <c:pt idx="829">
                  <c:v>43.903000000000411</c:v>
                </c:pt>
                <c:pt idx="830">
                  <c:v>43.903100000000414</c:v>
                </c:pt>
                <c:pt idx="831">
                  <c:v>43.903200000000417</c:v>
                </c:pt>
                <c:pt idx="832">
                  <c:v>43.903300000000421</c:v>
                </c:pt>
                <c:pt idx="833">
                  <c:v>43.903400000000424</c:v>
                </c:pt>
                <c:pt idx="834">
                  <c:v>43.903500000000427</c:v>
                </c:pt>
                <c:pt idx="835">
                  <c:v>43.903600000000431</c:v>
                </c:pt>
                <c:pt idx="836">
                  <c:v>43.903700000000434</c:v>
                </c:pt>
                <c:pt idx="837">
                  <c:v>43.903800000000437</c:v>
                </c:pt>
                <c:pt idx="838">
                  <c:v>43.903900000000441</c:v>
                </c:pt>
                <c:pt idx="839">
                  <c:v>43.904000000000444</c:v>
                </c:pt>
                <c:pt idx="840">
                  <c:v>43.904100000000447</c:v>
                </c:pt>
                <c:pt idx="841">
                  <c:v>43.904200000000451</c:v>
                </c:pt>
                <c:pt idx="842">
                  <c:v>43.904300000000454</c:v>
                </c:pt>
                <c:pt idx="843">
                  <c:v>43.904400000000457</c:v>
                </c:pt>
                <c:pt idx="844">
                  <c:v>43.904500000000461</c:v>
                </c:pt>
                <c:pt idx="845">
                  <c:v>43.904600000000464</c:v>
                </c:pt>
                <c:pt idx="846">
                  <c:v>43.904700000000467</c:v>
                </c:pt>
                <c:pt idx="847">
                  <c:v>43.904800000000471</c:v>
                </c:pt>
                <c:pt idx="848">
                  <c:v>43.904900000000474</c:v>
                </c:pt>
                <c:pt idx="849">
                  <c:v>43.905000000000477</c:v>
                </c:pt>
                <c:pt idx="850">
                  <c:v>43.905100000000481</c:v>
                </c:pt>
                <c:pt idx="851">
                  <c:v>43.905200000000484</c:v>
                </c:pt>
                <c:pt idx="852">
                  <c:v>43.905300000000487</c:v>
                </c:pt>
                <c:pt idx="853">
                  <c:v>43.90540000000049</c:v>
                </c:pt>
                <c:pt idx="854">
                  <c:v>43.905500000000494</c:v>
                </c:pt>
                <c:pt idx="855">
                  <c:v>43.905600000000497</c:v>
                </c:pt>
                <c:pt idx="856">
                  <c:v>43.9057000000005</c:v>
                </c:pt>
                <c:pt idx="857">
                  <c:v>43.905800000000504</c:v>
                </c:pt>
                <c:pt idx="858">
                  <c:v>43.905900000000507</c:v>
                </c:pt>
                <c:pt idx="859">
                  <c:v>43.90600000000051</c:v>
                </c:pt>
                <c:pt idx="860">
                  <c:v>43.906100000000514</c:v>
                </c:pt>
                <c:pt idx="861">
                  <c:v>43.906200000000517</c:v>
                </c:pt>
                <c:pt idx="862">
                  <c:v>43.90630000000052</c:v>
                </c:pt>
                <c:pt idx="863">
                  <c:v>43.906400000000524</c:v>
                </c:pt>
                <c:pt idx="864">
                  <c:v>43.906500000000527</c:v>
                </c:pt>
                <c:pt idx="865">
                  <c:v>43.90660000000053</c:v>
                </c:pt>
                <c:pt idx="866">
                  <c:v>43.906700000000534</c:v>
                </c:pt>
                <c:pt idx="867">
                  <c:v>43.906800000000537</c:v>
                </c:pt>
                <c:pt idx="868">
                  <c:v>43.90690000000054</c:v>
                </c:pt>
                <c:pt idx="869">
                  <c:v>43.907000000000544</c:v>
                </c:pt>
                <c:pt idx="870">
                  <c:v>43.907100000000547</c:v>
                </c:pt>
                <c:pt idx="871">
                  <c:v>43.90720000000055</c:v>
                </c:pt>
                <c:pt idx="872">
                  <c:v>43.907300000000554</c:v>
                </c:pt>
                <c:pt idx="873">
                  <c:v>43.907400000000557</c:v>
                </c:pt>
                <c:pt idx="874">
                  <c:v>43.90750000000056</c:v>
                </c:pt>
                <c:pt idx="875">
                  <c:v>43.907600000000564</c:v>
                </c:pt>
                <c:pt idx="876">
                  <c:v>43.907700000000567</c:v>
                </c:pt>
                <c:pt idx="877">
                  <c:v>43.90780000000057</c:v>
                </c:pt>
                <c:pt idx="878">
                  <c:v>43.907900000000573</c:v>
                </c:pt>
                <c:pt idx="879">
                  <c:v>43.908000000000577</c:v>
                </c:pt>
                <c:pt idx="880">
                  <c:v>43.90810000000058</c:v>
                </c:pt>
                <c:pt idx="881">
                  <c:v>43.908200000000583</c:v>
                </c:pt>
                <c:pt idx="882">
                  <c:v>43.908300000000587</c:v>
                </c:pt>
                <c:pt idx="883">
                  <c:v>43.90840000000059</c:v>
                </c:pt>
                <c:pt idx="884">
                  <c:v>43.908500000000593</c:v>
                </c:pt>
                <c:pt idx="885">
                  <c:v>43.908600000000597</c:v>
                </c:pt>
                <c:pt idx="886">
                  <c:v>43.9087000000006</c:v>
                </c:pt>
                <c:pt idx="887">
                  <c:v>43.908800000000603</c:v>
                </c:pt>
                <c:pt idx="888">
                  <c:v>43.908900000000607</c:v>
                </c:pt>
                <c:pt idx="889">
                  <c:v>43.90900000000061</c:v>
                </c:pt>
                <c:pt idx="890">
                  <c:v>43.909100000000613</c:v>
                </c:pt>
                <c:pt idx="891">
                  <c:v>43.909200000000617</c:v>
                </c:pt>
                <c:pt idx="892">
                  <c:v>43.90930000000062</c:v>
                </c:pt>
                <c:pt idx="893">
                  <c:v>43.909400000000623</c:v>
                </c:pt>
                <c:pt idx="894">
                  <c:v>43.909500000000627</c:v>
                </c:pt>
                <c:pt idx="895">
                  <c:v>43.90960000000063</c:v>
                </c:pt>
                <c:pt idx="896">
                  <c:v>43.909700000000633</c:v>
                </c:pt>
                <c:pt idx="897">
                  <c:v>43.909800000000637</c:v>
                </c:pt>
                <c:pt idx="898">
                  <c:v>43.90990000000064</c:v>
                </c:pt>
                <c:pt idx="899">
                  <c:v>43.910000000000643</c:v>
                </c:pt>
                <c:pt idx="900">
                  <c:v>43.910100000000647</c:v>
                </c:pt>
                <c:pt idx="901">
                  <c:v>43.91020000000065</c:v>
                </c:pt>
                <c:pt idx="902">
                  <c:v>43.910300000000653</c:v>
                </c:pt>
                <c:pt idx="903">
                  <c:v>43.910400000000656</c:v>
                </c:pt>
                <c:pt idx="904">
                  <c:v>43.91050000000066</c:v>
                </c:pt>
                <c:pt idx="905">
                  <c:v>43.910600000000663</c:v>
                </c:pt>
                <c:pt idx="906">
                  <c:v>43.910700000000666</c:v>
                </c:pt>
                <c:pt idx="907">
                  <c:v>43.91080000000067</c:v>
                </c:pt>
                <c:pt idx="908">
                  <c:v>43.910900000000673</c:v>
                </c:pt>
                <c:pt idx="909">
                  <c:v>43.911000000000676</c:v>
                </c:pt>
                <c:pt idx="910">
                  <c:v>43.91110000000068</c:v>
                </c:pt>
                <c:pt idx="911">
                  <c:v>43.911200000000683</c:v>
                </c:pt>
                <c:pt idx="912">
                  <c:v>43.911300000000686</c:v>
                </c:pt>
                <c:pt idx="913">
                  <c:v>43.91140000000069</c:v>
                </c:pt>
                <c:pt idx="914">
                  <c:v>43.911500000000693</c:v>
                </c:pt>
                <c:pt idx="915">
                  <c:v>43.911600000000696</c:v>
                </c:pt>
                <c:pt idx="916">
                  <c:v>43.9117000000007</c:v>
                </c:pt>
                <c:pt idx="917">
                  <c:v>43.911800000000703</c:v>
                </c:pt>
                <c:pt idx="918">
                  <c:v>43.911900000000706</c:v>
                </c:pt>
                <c:pt idx="919">
                  <c:v>43.91200000000071</c:v>
                </c:pt>
                <c:pt idx="920">
                  <c:v>43.912100000000713</c:v>
                </c:pt>
                <c:pt idx="921">
                  <c:v>43.912200000000716</c:v>
                </c:pt>
                <c:pt idx="922">
                  <c:v>43.91230000000072</c:v>
                </c:pt>
                <c:pt idx="923">
                  <c:v>43.912400000000723</c:v>
                </c:pt>
                <c:pt idx="924">
                  <c:v>43.912500000000726</c:v>
                </c:pt>
                <c:pt idx="925">
                  <c:v>43.912600000000729</c:v>
                </c:pt>
                <c:pt idx="926">
                  <c:v>43.912700000000733</c:v>
                </c:pt>
                <c:pt idx="927">
                  <c:v>43.912800000000736</c:v>
                </c:pt>
                <c:pt idx="928">
                  <c:v>43.912900000000739</c:v>
                </c:pt>
                <c:pt idx="929">
                  <c:v>43.913000000000743</c:v>
                </c:pt>
                <c:pt idx="930">
                  <c:v>43.913100000000746</c:v>
                </c:pt>
                <c:pt idx="931">
                  <c:v>43.913200000000749</c:v>
                </c:pt>
                <c:pt idx="932">
                  <c:v>43.913300000000753</c:v>
                </c:pt>
                <c:pt idx="933">
                  <c:v>43.913400000000756</c:v>
                </c:pt>
                <c:pt idx="934">
                  <c:v>43.913500000000759</c:v>
                </c:pt>
                <c:pt idx="935">
                  <c:v>43.913600000000763</c:v>
                </c:pt>
                <c:pt idx="936">
                  <c:v>43.913700000000766</c:v>
                </c:pt>
                <c:pt idx="937">
                  <c:v>43.913800000000769</c:v>
                </c:pt>
                <c:pt idx="938">
                  <c:v>43.913900000000773</c:v>
                </c:pt>
                <c:pt idx="939">
                  <c:v>43.914000000000776</c:v>
                </c:pt>
                <c:pt idx="940">
                  <c:v>43.914100000000779</c:v>
                </c:pt>
                <c:pt idx="941">
                  <c:v>43.914200000000783</c:v>
                </c:pt>
                <c:pt idx="942">
                  <c:v>43.914300000000786</c:v>
                </c:pt>
                <c:pt idx="943">
                  <c:v>43.914400000000789</c:v>
                </c:pt>
                <c:pt idx="944">
                  <c:v>43.914500000000793</c:v>
                </c:pt>
                <c:pt idx="945">
                  <c:v>43.914600000000796</c:v>
                </c:pt>
                <c:pt idx="946">
                  <c:v>43.914700000000799</c:v>
                </c:pt>
                <c:pt idx="947">
                  <c:v>43.914800000000803</c:v>
                </c:pt>
                <c:pt idx="948">
                  <c:v>43.914900000000806</c:v>
                </c:pt>
                <c:pt idx="949">
                  <c:v>43.915000000000809</c:v>
                </c:pt>
                <c:pt idx="950">
                  <c:v>43.915100000000812</c:v>
                </c:pt>
                <c:pt idx="951">
                  <c:v>43.915200000000816</c:v>
                </c:pt>
                <c:pt idx="952">
                  <c:v>43.915300000000819</c:v>
                </c:pt>
                <c:pt idx="953">
                  <c:v>43.915400000000822</c:v>
                </c:pt>
                <c:pt idx="954">
                  <c:v>43.915500000000826</c:v>
                </c:pt>
                <c:pt idx="955">
                  <c:v>43.915600000000829</c:v>
                </c:pt>
                <c:pt idx="956">
                  <c:v>43.915700000000832</c:v>
                </c:pt>
                <c:pt idx="957">
                  <c:v>43.915800000000836</c:v>
                </c:pt>
                <c:pt idx="958">
                  <c:v>43.915900000000839</c:v>
                </c:pt>
                <c:pt idx="959">
                  <c:v>43.916000000000842</c:v>
                </c:pt>
                <c:pt idx="960">
                  <c:v>43.916100000000846</c:v>
                </c:pt>
                <c:pt idx="961">
                  <c:v>43.916200000000849</c:v>
                </c:pt>
                <c:pt idx="962">
                  <c:v>43.916300000000852</c:v>
                </c:pt>
                <c:pt idx="963">
                  <c:v>43.916400000000856</c:v>
                </c:pt>
                <c:pt idx="964">
                  <c:v>43.916500000000859</c:v>
                </c:pt>
                <c:pt idx="965">
                  <c:v>43.916600000000862</c:v>
                </c:pt>
                <c:pt idx="966">
                  <c:v>43.916700000000866</c:v>
                </c:pt>
                <c:pt idx="967">
                  <c:v>43.916800000000869</c:v>
                </c:pt>
                <c:pt idx="968">
                  <c:v>43.916900000000872</c:v>
                </c:pt>
                <c:pt idx="969">
                  <c:v>43.917000000000876</c:v>
                </c:pt>
                <c:pt idx="970">
                  <c:v>43.917100000000879</c:v>
                </c:pt>
                <c:pt idx="971">
                  <c:v>43.917200000000882</c:v>
                </c:pt>
                <c:pt idx="972">
                  <c:v>43.917300000000886</c:v>
                </c:pt>
                <c:pt idx="973">
                  <c:v>43.917400000000889</c:v>
                </c:pt>
                <c:pt idx="974">
                  <c:v>43.917500000000892</c:v>
                </c:pt>
                <c:pt idx="975">
                  <c:v>43.917600000000895</c:v>
                </c:pt>
                <c:pt idx="976">
                  <c:v>43.917700000000899</c:v>
                </c:pt>
                <c:pt idx="977">
                  <c:v>43.917800000000902</c:v>
                </c:pt>
                <c:pt idx="978">
                  <c:v>43.917900000000905</c:v>
                </c:pt>
                <c:pt idx="979">
                  <c:v>43.918000000000909</c:v>
                </c:pt>
                <c:pt idx="980">
                  <c:v>43.918100000000912</c:v>
                </c:pt>
                <c:pt idx="981">
                  <c:v>43.918200000000915</c:v>
                </c:pt>
                <c:pt idx="982">
                  <c:v>43.918300000000919</c:v>
                </c:pt>
                <c:pt idx="983">
                  <c:v>43.918400000000922</c:v>
                </c:pt>
                <c:pt idx="984">
                  <c:v>43.918500000000925</c:v>
                </c:pt>
                <c:pt idx="985">
                  <c:v>43.918600000000929</c:v>
                </c:pt>
                <c:pt idx="986">
                  <c:v>43.918700000000932</c:v>
                </c:pt>
                <c:pt idx="987">
                  <c:v>43.918800000000935</c:v>
                </c:pt>
                <c:pt idx="988">
                  <c:v>43.918900000000939</c:v>
                </c:pt>
                <c:pt idx="989">
                  <c:v>43.919000000000942</c:v>
                </c:pt>
                <c:pt idx="990">
                  <c:v>43.919100000000945</c:v>
                </c:pt>
                <c:pt idx="991">
                  <c:v>43.919200000000949</c:v>
                </c:pt>
                <c:pt idx="992">
                  <c:v>43.919300000000952</c:v>
                </c:pt>
                <c:pt idx="993">
                  <c:v>43.919400000000955</c:v>
                </c:pt>
                <c:pt idx="994">
                  <c:v>43.919500000000959</c:v>
                </c:pt>
                <c:pt idx="995">
                  <c:v>43.919600000000962</c:v>
                </c:pt>
                <c:pt idx="996">
                  <c:v>43.919700000000965</c:v>
                </c:pt>
                <c:pt idx="997">
                  <c:v>43.919800000000969</c:v>
                </c:pt>
                <c:pt idx="998">
                  <c:v>43.919900000000972</c:v>
                </c:pt>
                <c:pt idx="999">
                  <c:v>43.920000000000975</c:v>
                </c:pt>
                <c:pt idx="1000">
                  <c:v>43.920100000000978</c:v>
                </c:pt>
              </c:numCache>
            </c:numRef>
          </c:xVal>
          <c:yVal>
            <c:numRef>
              <c:f>Calculs!$J$4:$J$1004</c:f>
              <c:numCache>
                <c:formatCode>0.00</c:formatCode>
                <c:ptCount val="1001"/>
                <c:pt idx="0">
                  <c:v>0</c:v>
                </c:pt>
                <c:pt idx="1">
                  <c:v>0.17363569688694569</c:v>
                </c:pt>
                <c:pt idx="2">
                  <c:v>0.34750386560925328</c:v>
                </c:pt>
                <c:pt idx="3">
                  <c:v>0.52211923500345592</c:v>
                </c:pt>
                <c:pt idx="4">
                  <c:v>0.69799637021569372</c:v>
                </c:pt>
                <c:pt idx="5">
                  <c:v>0.87573383083647349</c:v>
                </c:pt>
                <c:pt idx="6">
                  <c:v>1.0558009851432721</c:v>
                </c:pt>
                <c:pt idx="7">
                  <c:v>1.2383233442238872</c:v>
                </c:pt>
                <c:pt idx="8">
                  <c:v>1.4232957314156194</c:v>
                </c:pt>
                <c:pt idx="9">
                  <c:v>1.6107128865651981</c:v>
                </c:pt>
                <c:pt idx="10">
                  <c:v>1.80056946725103</c:v>
                </c:pt>
                <c:pt idx="11">
                  <c:v>1.9928600499772187</c:v>
                </c:pt>
                <c:pt idx="12">
                  <c:v>2.1875791313409199</c:v>
                </c:pt>
                <c:pt idx="13">
                  <c:v>2.3847211291744927</c:v>
                </c:pt>
                <c:pt idx="14">
                  <c:v>2.584280383663812</c:v>
                </c:pt>
                <c:pt idx="15">
                  <c:v>2.7862511584440135</c:v>
                </c:pt>
                <c:pt idx="16">
                  <c:v>2.9906276416738713</c:v>
                </c:pt>
                <c:pt idx="17">
                  <c:v>3.1974039470899114</c:v>
                </c:pt>
                <c:pt idx="18">
                  <c:v>3.4065741150413151</c:v>
                </c:pt>
                <c:pt idx="19">
                  <c:v>3.6181321135065829</c:v>
                </c:pt>
                <c:pt idx="20">
                  <c:v>3.8320718390928801</c:v>
                </c:pt>
                <c:pt idx="21">
                  <c:v>4.0483871180189155</c:v>
                </c:pt>
                <c:pt idx="22">
                  <c:v>4.2670717070821658</c:v>
                </c:pt>
                <c:pt idx="23">
                  <c:v>4.4881192946111952</c:v>
                </c:pt>
                <c:pt idx="24">
                  <c:v>4.7115235014037813</c:v>
                </c:pt>
                <c:pt idx="25">
                  <c:v>4.9372778816515117</c:v>
                </c:pt>
                <c:pt idx="26">
                  <c:v>5.1653759238514745</c:v>
                </c:pt>
                <c:pt idx="27">
                  <c:v>5.3958110517056364</c:v>
                </c:pt>
                <c:pt idx="28">
                  <c:v>5.6285766250084466</c:v>
                </c:pt>
                <c:pt idx="29">
                  <c:v>5.863665940523199</c:v>
                </c:pt>
                <c:pt idx="30">
                  <c:v>6.1010722328476295</c:v>
                </c:pt>
                <c:pt idx="31">
                  <c:v>6.3407886752692111</c:v>
                </c:pt>
                <c:pt idx="32">
                  <c:v>6.582808380610575</c:v>
                </c:pt>
                <c:pt idx="33">
                  <c:v>6.8271244020654622</c:v>
                </c:pt>
                <c:pt idx="34">
                  <c:v>7.0737297340255907</c:v>
                </c:pt>
                <c:pt idx="35">
                  <c:v>7.322617312898787</c:v>
                </c:pt>
                <c:pt idx="36">
                  <c:v>7.5737800179187325</c:v>
                </c:pt>
                <c:pt idx="37">
                  <c:v>7.8272106719466246</c:v>
                </c:pt>
                <c:pt idx="38">
                  <c:v>8.082902042265065</c:v>
                </c:pt>
                <c:pt idx="39">
                  <c:v>8.3408468413644439</c:v>
                </c:pt>
                <c:pt idx="40">
                  <c:v>8.6010377277220975</c:v>
                </c:pt>
                <c:pt idx="41">
                  <c:v>8.8634673065744654</c:v>
                </c:pt>
                <c:pt idx="42">
                  <c:v>9.1281281306825033</c:v>
                </c:pt>
                <c:pt idx="43">
                  <c:v>9.3950127010905504</c:v>
                </c:pt>
                <c:pt idx="44">
                  <c:v>9.6641134678788774</c:v>
                </c:pt>
                <c:pt idx="45">
                  <c:v>9.9354228309100812</c:v>
                </c:pt>
                <c:pt idx="46">
                  <c:v>10.208933140569533</c:v>
                </c:pt>
                <c:pt idx="47">
                  <c:v>10.484636698500042</c:v>
                </c:pt>
                <c:pt idx="48">
                  <c:v>10.762525758330881</c:v>
                </c:pt>
                <c:pt idx="49">
                  <c:v>11.042592526401345</c:v>
                </c:pt>
                <c:pt idx="50">
                  <c:v>11.324829162478968</c:v>
                </c:pt>
                <c:pt idx="51">
                  <c:v>11.609228499767596</c:v>
                </c:pt>
                <c:pt idx="52">
                  <c:v>11.895784766577238</c:v>
                </c:pt>
                <c:pt idx="53">
                  <c:v>12.184492869135722</c:v>
                </c:pt>
                <c:pt idx="54">
                  <c:v>12.475347672627599</c:v>
                </c:pt>
                <c:pt idx="55">
                  <c:v>12.768344001686508</c:v>
                </c:pt>
                <c:pt idx="56">
                  <c:v>13.063476640884916</c:v>
                </c:pt>
                <c:pt idx="57">
                  <c:v>13.360740335221337</c:v>
                </c:pt>
                <c:pt idx="58">
                  <c:v>13.660129790605049</c:v>
                </c:pt>
                <c:pt idx="59">
                  <c:v>13.961639674338421</c:v>
                </c:pt>
                <c:pt idx="60">
                  <c:v>14.265264615596863</c:v>
                </c:pt>
                <c:pt idx="61">
                  <c:v>14.570999205906478</c:v>
                </c:pt>
                <c:pt idx="62">
                  <c:v>14.878837999619465</c:v>
                </c:pt>
                <c:pt idx="63">
                  <c:v>15.188775514387306</c:v>
                </c:pt>
                <c:pt idx="64">
                  <c:v>15.500806231631787</c:v>
                </c:pt>
                <c:pt idx="65">
                  <c:v>15.814924597013903</c:v>
                </c:pt>
                <c:pt idx="66">
                  <c:v>16.131125020900672</c:v>
                </c:pt>
                <c:pt idx="67">
                  <c:v>16.449401878829889</c:v>
                </c:pt>
                <c:pt idx="68">
                  <c:v>16.769749511972861</c:v>
                </c:pt>
                <c:pt idx="69">
                  <c:v>17.092162227595168</c:v>
                </c:pt>
                <c:pt idx="70">
                  <c:v>17.41663429951543</c:v>
                </c:pt>
                <c:pt idx="71">
                  <c:v>17.743159968562146</c:v>
                </c:pt>
                <c:pt idx="72">
                  <c:v>18.071733443028631</c:v>
                </c:pt>
                <c:pt idx="73">
                  <c:v>18.402348899126018</c:v>
                </c:pt>
                <c:pt idx="74">
                  <c:v>18.735000481434415</c:v>
                </c:pt>
                <c:pt idx="75">
                  <c:v>19.069682303352181</c:v>
                </c:pt>
                <c:pt idx="76">
                  <c:v>19.406388447543357</c:v>
                </c:pt>
                <c:pt idx="77">
                  <c:v>19.74511296638326</c:v>
                </c:pt>
                <c:pt idx="78">
                  <c:v>20.08584988240225</c:v>
                </c:pt>
                <c:pt idx="79">
                  <c:v>20.428593188727692</c:v>
                </c:pt>
                <c:pt idx="80">
                  <c:v>20.773336849524092</c:v>
                </c:pt>
                <c:pt idx="81">
                  <c:v>21.120074800431457</c:v>
                </c:pt>
                <c:pt idx="82">
                  <c:v>21.468800949001835</c:v>
                </c:pt>
                <c:pt idx="83">
                  <c:v>21.819509175134087</c:v>
                </c:pt>
                <c:pt idx="84">
                  <c:v>22.172193331506865</c:v>
                </c:pt>
                <c:pt idx="85">
                  <c:v>22.52684724400979</c:v>
                </c:pt>
                <c:pt idx="86">
                  <c:v>22.883464712172874</c:v>
                </c:pt>
                <c:pt idx="87">
                  <c:v>23.242039509594132</c:v>
                </c:pt>
                <c:pt idx="88">
                  <c:v>23.602565384365427</c:v>
                </c:pt>
                <c:pt idx="89">
                  <c:v>23.965036059496516</c:v>
                </c:pt>
                <c:pt idx="90">
                  <c:v>24.329445233337314</c:v>
                </c:pt>
                <c:pt idx="91">
                  <c:v>24.695786579998359</c:v>
                </c:pt>
                <c:pt idx="92">
                  <c:v>25.064053749769489</c:v>
                </c:pt>
                <c:pt idx="93">
                  <c:v>25.434240369536703</c:v>
                </c:pt>
                <c:pt idx="94">
                  <c:v>25.806340043197224</c:v>
                </c:pt>
                <c:pt idx="95">
                  <c:v>26.18034635207275</c:v>
                </c:pt>
                <c:pt idx="96">
                  <c:v>26.556252855320871</c:v>
                </c:pt>
                <c:pt idx="97">
                  <c:v>26.934053090344673</c:v>
                </c:pt>
                <c:pt idx="98">
                  <c:v>27.313740573200494</c:v>
                </c:pt>
                <c:pt idx="99">
                  <c:v>27.69530879900384</c:v>
                </c:pt>
                <c:pt idx="100">
                  <c:v>28.078751242333453</c:v>
                </c:pt>
                <c:pt idx="101">
                  <c:v>28.464061013156286</c:v>
                </c:pt>
                <c:pt idx="102">
                  <c:v>28.851230512426945</c:v>
                </c:pt>
                <c:pt idx="103">
                  <c:v>29.240251777111567</c:v>
                </c:pt>
                <c:pt idx="104">
                  <c:v>29.631116825570519</c:v>
                </c:pt>
                <c:pt idx="105">
                  <c:v>30.023817658026793</c:v>
                </c:pt>
                <c:pt idx="106">
                  <c:v>30.418346257031658</c:v>
                </c:pt>
                <c:pt idx="107">
                  <c:v>30.814694587927544</c:v>
                </c:pt>
                <c:pt idx="108">
                  <c:v>31.212854599308155</c:v>
                </c:pt>
                <c:pt idx="109">
                  <c:v>31.612818223475795</c:v>
                </c:pt>
                <c:pt idx="110">
                  <c:v>32.014577376895915</c:v>
                </c:pt>
                <c:pt idx="111">
                  <c:v>32.418123960648828</c:v>
                </c:pt>
                <c:pt idx="112">
                  <c:v>32.823449860878611</c:v>
                </c:pt>
                <c:pt idx="113">
                  <c:v>33.230546949239191</c:v>
                </c:pt>
                <c:pt idx="114">
                  <c:v>33.639407083337545</c:v>
                </c:pt>
                <c:pt idx="115">
                  <c:v>34.050022107174087</c:v>
                </c:pt>
                <c:pt idx="116">
                  <c:v>34.462383851580142</c:v>
                </c:pt>
                <c:pt idx="117">
                  <c:v>34.876484134652571</c:v>
                </c:pt>
                <c:pt idx="118">
                  <c:v>35.29231476218547</c:v>
                </c:pt>
                <c:pt idx="119">
                  <c:v>35.709867528098982</c:v>
                </c:pt>
                <c:pt idx="120">
                  <c:v>36.129134214865175</c:v>
                </c:pt>
                <c:pt idx="121">
                  <c:v>36.550106593930991</c:v>
                </c:pt>
                <c:pt idx="122">
                  <c:v>36.972776426138246</c:v>
                </c:pt>
                <c:pt idx="123">
                  <c:v>37.397135462140696</c:v>
                </c:pt>
                <c:pt idx="124">
                  <c:v>37.823175442818091</c:v>
                </c:pt>
                <c:pt idx="125">
                  <c:v>38.250888099687288</c:v>
                </c:pt>
                <c:pt idx="126">
                  <c:v>38.680265155310352</c:v>
                </c:pt>
                <c:pt idx="127">
                  <c:v>39.111298323699671</c:v>
                </c:pt>
                <c:pt idx="128">
                  <c:v>39.543979310720047</c:v>
                </c:pt>
                <c:pt idx="129">
                  <c:v>39.978299814487748</c:v>
                </c:pt>
                <c:pt idx="130">
                  <c:v>40.414251525766566</c:v>
                </c:pt>
                <c:pt idx="131">
                  <c:v>40.851826128360806</c:v>
                </c:pt>
                <c:pt idx="132">
                  <c:v>41.291015299505219</c:v>
                </c:pt>
                <c:pt idx="133">
                  <c:v>41.731810710251885</c:v>
                </c:pt>
                <c:pt idx="134">
                  <c:v>42.17420402585401</c:v>
                </c:pt>
                <c:pt idx="135">
                  <c:v>42.618186906146654</c:v>
                </c:pt>
                <c:pt idx="136">
                  <c:v>43.063751005924381</c:v>
                </c:pt>
                <c:pt idx="137">
                  <c:v>43.510887975315768</c:v>
                </c:pt>
                <c:pt idx="138">
                  <c:v>43.959589460154866</c:v>
                </c:pt>
                <c:pt idx="139">
                  <c:v>44.409847102349502</c:v>
                </c:pt>
                <c:pt idx="140">
                  <c:v>44.861652540246482</c:v>
                </c:pt>
                <c:pt idx="141">
                  <c:v>45.314997408993676</c:v>
                </c:pt>
                <c:pt idx="142">
                  <c:v>45.769873340898947</c:v>
                </c:pt>
                <c:pt idx="143">
                  <c:v>46.226271965785948</c:v>
                </c:pt>
                <c:pt idx="144">
                  <c:v>46.68418491134679</c:v>
                </c:pt>
                <c:pt idx="145">
                  <c:v>47.14360380349153</c:v>
                </c:pt>
                <c:pt idx="146">
                  <c:v>47.604520266694529</c:v>
                </c:pt>
                <c:pt idx="147">
                  <c:v>48.066925924337632</c:v>
                </c:pt>
                <c:pt idx="148">
                  <c:v>48.530812399050191</c:v>
                </c:pt>
                <c:pt idx="149">
                  <c:v>48.996171313045927</c:v>
                </c:pt>
                <c:pt idx="150">
                  <c:v>49.462994288456606</c:v>
                </c:pt>
                <c:pt idx="151">
                  <c:v>49.93127306867855</c:v>
                </c:pt>
                <c:pt idx="152">
                  <c:v>50.400999639694113</c:v>
                </c:pt>
                <c:pt idx="153">
                  <c:v>50.872166109089392</c:v>
                </c:pt>
                <c:pt idx="154">
                  <c:v>51.344764585081215</c:v>
                </c:pt>
                <c:pt idx="155">
                  <c:v>51.818787176816194</c:v>
                </c:pt>
                <c:pt idx="156">
                  <c:v>52.294225994666931</c:v>
                </c:pt>
                <c:pt idx="157">
                  <c:v>52.771073150525311</c:v>
                </c:pt>
                <c:pt idx="158">
                  <c:v>53.249320758092928</c:v>
                </c:pt>
                <c:pt idx="159">
                  <c:v>53.728960933168594</c:v>
                </c:pt>
                <c:pt idx="160">
                  <c:v>54.209985793933001</c:v>
                </c:pt>
                <c:pt idx="161">
                  <c:v>54.692387461230474</c:v>
                </c:pt>
                <c:pt idx="162">
                  <c:v>55.176158058847832</c:v>
                </c:pt>
                <c:pt idx="163">
                  <c:v>55.661289713790374</c:v>
                </c:pt>
                <c:pt idx="164">
                  <c:v>56.147774556554978</c:v>
                </c:pt>
                <c:pt idx="165">
                  <c:v>56.635604721400306</c:v>
                </c:pt>
                <c:pt idx="166">
                  <c:v>57.124772346614144</c:v>
                </c:pt>
                <c:pt idx="167">
                  <c:v>57.615269574777827</c:v>
                </c:pt>
                <c:pt idx="168">
                  <c:v>58.107088553027822</c:v>
                </c:pt>
                <c:pt idx="169">
                  <c:v>58.60022143331441</c:v>
                </c:pt>
                <c:pt idx="170">
                  <c:v>59.094660372657486</c:v>
                </c:pt>
                <c:pt idx="171">
                  <c:v>59.590397533399532</c:v>
                </c:pt>
                <c:pt idx="172">
                  <c:v>60.087425083455656</c:v>
                </c:pt>
                <c:pt idx="173">
                  <c:v>60.585735196560812</c:v>
                </c:pt>
                <c:pt idx="174">
                  <c:v>61.085320052514142</c:v>
                </c:pt>
                <c:pt idx="175">
                  <c:v>61.58617183742048</c:v>
                </c:pt>
                <c:pt idx="176">
                  <c:v>62.088282743928971</c:v>
                </c:pt>
                <c:pt idx="177">
                  <c:v>62.591644971468867</c:v>
                </c:pt>
                <c:pt idx="178">
                  <c:v>63.096250726482474</c:v>
                </c:pt>
                <c:pt idx="179">
                  <c:v>63.602092222655259</c:v>
                </c:pt>
                <c:pt idx="180">
                  <c:v>64.109161681143135</c:v>
                </c:pt>
                <c:pt idx="181">
                  <c:v>64.617451330796925</c:v>
                </c:pt>
                <c:pt idx="182">
                  <c:v>65.126953408383955</c:v>
                </c:pt>
                <c:pt idx="183">
                  <c:v>65.637660158806938</c:v>
                </c:pt>
                <c:pt idx="184">
                  <c:v>66.149563835319938</c:v>
                </c:pt>
                <c:pt idx="185">
                  <c:v>66.662656699741632</c:v>
                </c:pt>
                <c:pt idx="186">
                  <c:v>67.176931022665698</c:v>
                </c:pt>
                <c:pt idx="187">
                  <c:v>67.692379083668499</c:v>
                </c:pt>
                <c:pt idx="188">
                  <c:v>68.208993171513939</c:v>
                </c:pt>
                <c:pt idx="189">
                  <c:v>68.726765584355562</c:v>
                </c:pt>
                <c:pt idx="190">
                  <c:v>69.245688629935927</c:v>
                </c:pt>
                <c:pt idx="191">
                  <c:v>69.76575462578316</c:v>
                </c:pt>
                <c:pt idx="192">
                  <c:v>70.286955899404859</c:v>
                </c:pt>
                <c:pt idx="193">
                  <c:v>70.809284788479204</c:v>
                </c:pt>
                <c:pt idx="194">
                  <c:v>71.332733641043347</c:v>
                </c:pt>
                <c:pt idx="195">
                  <c:v>71.857294815679126</c:v>
                </c:pt>
                <c:pt idx="196">
                  <c:v>72.382960681696062</c:v>
                </c:pt>
                <c:pt idx="197">
                  <c:v>72.909723619311634</c:v>
                </c:pt>
                <c:pt idx="198">
                  <c:v>73.437576019828938</c:v>
                </c:pt>
                <c:pt idx="199">
                  <c:v>73.966510285811594</c:v>
                </c:pt>
                <c:pt idx="200">
                  <c:v>74.496518831256083</c:v>
                </c:pt>
                <c:pt idx="201">
                  <c:v>75.02759408176135</c:v>
                </c:pt>
                <c:pt idx="202">
                  <c:v>75.559728474695845</c:v>
                </c:pt>
                <c:pt idx="203">
                  <c:v>76.092914459361893</c:v>
                </c:pt>
                <c:pt idx="204">
                  <c:v>76.62714449715746</c:v>
                </c:pt>
                <c:pt idx="205">
                  <c:v>77.162411061735298</c:v>
                </c:pt>
                <c:pt idx="206">
                  <c:v>77.698706639159568</c:v>
                </c:pt>
                <c:pt idx="207">
                  <c:v>78.23602372805982</c:v>
                </c:pt>
                <c:pt idx="208">
                  <c:v>78.774354839782418</c:v>
                </c:pt>
                <c:pt idx="209">
                  <c:v>79.313692498539453</c:v>
                </c:pt>
                <c:pt idx="210">
                  <c:v>79.854029241555054</c:v>
                </c:pt>
                <c:pt idx="211">
                  <c:v>80.395357619209236</c:v>
                </c:pt>
                <c:pt idx="212">
                  <c:v>80.937670195179209</c:v>
                </c:pt>
                <c:pt idx="213">
                  <c:v>81.480959546578177</c:v>
                </c:pt>
                <c:pt idx="214">
                  <c:v>82.025218264091663</c:v>
                </c:pt>
                <c:pt idx="215">
                  <c:v>82.570438952111374</c:v>
                </c:pt>
                <c:pt idx="216">
                  <c:v>83.116614228866595</c:v>
                </c:pt>
                <c:pt idx="217">
                  <c:v>83.663736726553097</c:v>
                </c:pt>
                <c:pt idx="218">
                  <c:v>84.211799091459739</c:v>
                </c:pt>
                <c:pt idx="219">
                  <c:v>84.760793984092501</c:v>
                </c:pt>
                <c:pt idx="220">
                  <c:v>85.310714079296247</c:v>
                </c:pt>
                <c:pt idx="221">
                  <c:v>85.861552066373989</c:v>
                </c:pt>
                <c:pt idx="222">
                  <c:v>86.41330064920389</c:v>
                </c:pt>
                <c:pt idx="223">
                  <c:v>86.965952546353819</c:v>
                </c:pt>
                <c:pt idx="224">
                  <c:v>87.519500491193611</c:v>
                </c:pt>
                <c:pt idx="225">
                  <c:v>88.073937232004994</c:v>
                </c:pt>
                <c:pt idx="226">
                  <c:v>88.629255532089218</c:v>
                </c:pt>
                <c:pt idx="227">
                  <c:v>89.185448169872316</c:v>
                </c:pt>
                <c:pt idx="228">
                  <c:v>89.74250793900822</c:v>
                </c:pt>
                <c:pt idx="229">
                  <c:v>90.300427648479456</c:v>
                </c:pt>
                <c:pt idx="230">
                  <c:v>90.859200122695711</c:v>
                </c:pt>
                <c:pt idx="231">
                  <c:v>91.418818201590099</c:v>
                </c:pt>
                <c:pt idx="232">
                  <c:v>91.979274740713237</c:v>
                </c:pt>
                <c:pt idx="233">
                  <c:v>92.540562611325129</c:v>
                </c:pt>
                <c:pt idx="234">
                  <c:v>93.102674700484798</c:v>
                </c:pt>
                <c:pt idx="235">
                  <c:v>93.66560391113785</c:v>
                </c:pt>
                <c:pt idx="236">
                  <c:v>94.229343162201786</c:v>
                </c:pt>
                <c:pt idx="237">
                  <c:v>94.793885388649258</c:v>
                </c:pt>
                <c:pt idx="238">
                  <c:v>95.359223541589131</c:v>
                </c:pt>
                <c:pt idx="239">
                  <c:v>95.925350588345495</c:v>
                </c:pt>
                <c:pt idx="240">
                  <c:v>96.492259512534545</c:v>
                </c:pt>
                <c:pt idx="241">
                  <c:v>97.059943314139431</c:v>
                </c:pt>
                <c:pt idx="242">
                  <c:v>97.628395009583031</c:v>
                </c:pt>
                <c:pt idx="243">
                  <c:v>98.197607631798647</c:v>
                </c:pt>
                <c:pt idx="244">
                  <c:v>98.767574230298763</c:v>
                </c:pt>
                <c:pt idx="245">
                  <c:v>99.33828787124169</c:v>
                </c:pt>
                <c:pt idx="246">
                  <c:v>99.909741637496339</c:v>
                </c:pt>
                <c:pt idx="247">
                  <c:v>100.48192862870492</c:v>
                </c:pt>
                <c:pt idx="248">
                  <c:v>101.05484196134373</c:v>
                </c:pt>
                <c:pt idx="249">
                  <c:v>101.62847476878197</c:v>
                </c:pt>
                <c:pt idx="250">
                  <c:v>102.20282020133872</c:v>
                </c:pt>
                <c:pt idx="251">
                  <c:v>102.77787087524932</c:v>
                </c:pt>
                <c:pt idx="252">
                  <c:v>103.35361832254701</c:v>
                </c:pt>
                <c:pt idx="253">
                  <c:v>103.93005354495645</c:v>
                </c:pt>
                <c:pt idx="254">
                  <c:v>104.50716756688264</c:v>
                </c:pt>
                <c:pt idx="255">
                  <c:v>105.0849514354868</c:v>
                </c:pt>
                <c:pt idx="256">
                  <c:v>105.66339622075913</c:v>
                </c:pt>
                <c:pt idx="257">
                  <c:v>106.24249301558872</c:v>
                </c:pt>
                <c:pt idx="258">
                  <c:v>106.8222329358305</c:v>
                </c:pt>
                <c:pt idx="259">
                  <c:v>107.40260712036921</c:v>
                </c:pt>
                <c:pt idx="260">
                  <c:v>107.98360673118054</c:v>
                </c:pt>
                <c:pt idx="261">
                  <c:v>108.56522295338941</c:v>
                </c:pt>
                <c:pt idx="262">
                  <c:v>109.14744699532541</c:v>
                </c:pt>
                <c:pt idx="263">
                  <c:v>109.73027008857542</c:v>
                </c:pt>
                <c:pt idx="264">
                  <c:v>110.31368348803355</c:v>
                </c:pt>
                <c:pt idx="265">
                  <c:v>110.89767847194815</c:v>
                </c:pt>
                <c:pt idx="266">
                  <c:v>111.48224634196639</c:v>
                </c:pt>
                <c:pt idx="267">
                  <c:v>112.06737842317584</c:v>
                </c:pt>
                <c:pt idx="268">
                  <c:v>112.65306606414362</c:v>
                </c:pt>
                <c:pt idx="269">
                  <c:v>113.23930063695283</c:v>
                </c:pt>
                <c:pt idx="270">
                  <c:v>113.82607353723641</c:v>
                </c:pt>
                <c:pt idx="271">
                  <c:v>114.41337618420836</c:v>
                </c:pt>
                <c:pt idx="272">
                  <c:v>115.00120002069251</c:v>
                </c:pt>
                <c:pt idx="273">
                  <c:v>115.58953651314872</c:v>
                </c:pt>
                <c:pt idx="274">
                  <c:v>116.17837715169658</c:v>
                </c:pt>
                <c:pt idx="275">
                  <c:v>116.76771345013671</c:v>
                </c:pt>
                <c:pt idx="276">
                  <c:v>117.35753694596956</c:v>
                </c:pt>
                <c:pt idx="277">
                  <c:v>117.94783920041182</c:v>
                </c:pt>
                <c:pt idx="278">
                  <c:v>118.5386117984105</c:v>
                </c:pt>
                <c:pt idx="279">
                  <c:v>119.12984634865461</c:v>
                </c:pt>
                <c:pt idx="280">
                  <c:v>119.72153448358452</c:v>
                </c:pt>
                <c:pt idx="281">
                  <c:v>120.31366785939908</c:v>
                </c:pt>
                <c:pt idx="282">
                  <c:v>120.90623815606037</c:v>
                </c:pt>
                <c:pt idx="283">
                  <c:v>121.49923707729636</c:v>
                </c:pt>
                <c:pt idx="284">
                  <c:v>122.09265635060119</c:v>
                </c:pt>
                <c:pt idx="285">
                  <c:v>122.6864877272334</c:v>
                </c:pt>
                <c:pt idx="286">
                  <c:v>123.28072298221193</c:v>
                </c:pt>
                <c:pt idx="287">
                  <c:v>123.87535391430998</c:v>
                </c:pt>
                <c:pt idx="288">
                  <c:v>124.47037234604686</c:v>
                </c:pt>
                <c:pt idx="289">
                  <c:v>125.06577012367762</c:v>
                </c:pt>
                <c:pt idx="290">
                  <c:v>125.66153911718078</c:v>
                </c:pt>
                <c:pt idx="291">
                  <c:v>126.25767122024385</c:v>
                </c:pt>
                <c:pt idx="292">
                  <c:v>126.85415835024708</c:v>
                </c:pt>
                <c:pt idx="293">
                  <c:v>127.45099244824502</c:v>
                </c:pt>
                <c:pt idx="294">
                  <c:v>128.04816547894629</c:v>
                </c:pt>
                <c:pt idx="295">
                  <c:v>128.64566943069133</c:v>
                </c:pt>
                <c:pt idx="296">
                  <c:v>129.24349631542833</c:v>
                </c:pt>
                <c:pt idx="297">
                  <c:v>129.84163816868721</c:v>
                </c:pt>
                <c:pt idx="298">
                  <c:v>130.44008086371898</c:v>
                </c:pt>
                <c:pt idx="299">
                  <c:v>131.03879793933558</c:v>
                </c:pt>
                <c:pt idx="300">
                  <c:v>131.63775682226373</c:v>
                </c:pt>
                <c:pt idx="301">
                  <c:v>132.2369250360303</c:v>
                </c:pt>
                <c:pt idx="302">
                  <c:v>132.83627020138366</c:v>
                </c:pt>
                <c:pt idx="303">
                  <c:v>133.43576003668338</c:v>
                </c:pt>
                <c:pt idx="304">
                  <c:v>134.03536235825871</c:v>
                </c:pt>
                <c:pt idx="305">
                  <c:v>134.63504508073632</c:v>
                </c:pt>
                <c:pt idx="306">
                  <c:v>135.23477621733744</c:v>
                </c:pt>
                <c:pt idx="307">
                  <c:v>135.8345238801451</c:v>
                </c:pt>
                <c:pt idx="308">
                  <c:v>136.43425628034151</c:v>
                </c:pt>
                <c:pt idx="309">
                  <c:v>137.03394172841629</c:v>
                </c:pt>
                <c:pt idx="310">
                  <c:v>137.63354863434563</c:v>
                </c:pt>
                <c:pt idx="311">
                  <c:v>138.23304550774296</c:v>
                </c:pt>
                <c:pt idx="312">
                  <c:v>138.83240095798158</c:v>
                </c:pt>
                <c:pt idx="313">
                  <c:v>139.43158369428932</c:v>
                </c:pt>
                <c:pt idx="314">
                  <c:v>140.03056252581587</c:v>
                </c:pt>
                <c:pt idx="315">
                  <c:v>140.62930636167317</c:v>
                </c:pt>
                <c:pt idx="316">
                  <c:v>141.22778421094912</c:v>
                </c:pt>
                <c:pt idx="317">
                  <c:v>141.82596518269497</c:v>
                </c:pt>
                <c:pt idx="318">
                  <c:v>142.42381848588687</c:v>
                </c:pt>
                <c:pt idx="319">
                  <c:v>143.02131342936195</c:v>
                </c:pt>
                <c:pt idx="320">
                  <c:v>143.61841942172927</c:v>
                </c:pt>
                <c:pt idx="321">
                  <c:v>144.21510845529045</c:v>
                </c:pt>
                <c:pt idx="322">
                  <c:v>144.81135758267556</c:v>
                </c:pt>
                <c:pt idx="323">
                  <c:v>145.40714641543087</c:v>
                </c:pt>
                <c:pt idx="324">
                  <c:v>146.00245462980794</c:v>
                </c:pt>
                <c:pt idx="325">
                  <c:v>146.59726196649038</c:v>
                </c:pt>
                <c:pt idx="326">
                  <c:v>147.19154823031158</c:v>
                </c:pt>
                <c:pt idx="327">
                  <c:v>147.78529328996345</c:v>
                </c:pt>
                <c:pt idx="328">
                  <c:v>148.3784770776962</c:v>
                </c:pt>
                <c:pt idx="329">
                  <c:v>148.97107958900966</c:v>
                </c:pt>
                <c:pt idx="330">
                  <c:v>149.56308088233581</c:v>
                </c:pt>
                <c:pt idx="331">
                  <c:v>150.15446107871313</c:v>
                </c:pt>
                <c:pt idx="332">
                  <c:v>150.74520036145253</c:v>
                </c:pt>
                <c:pt idx="333">
                  <c:v>151.33527897579535</c:v>
                </c:pt>
                <c:pt idx="334">
                  <c:v>151.92467722856327</c:v>
                </c:pt>
                <c:pt idx="335">
                  <c:v>152.51337548780054</c:v>
                </c:pt>
                <c:pt idx="336">
                  <c:v>153.10135418240833</c:v>
                </c:pt>
                <c:pt idx="337">
                  <c:v>153.68859380177176</c:v>
                </c:pt>
                <c:pt idx="338">
                  <c:v>154.27507489537939</c:v>
                </c:pt>
                <c:pt idx="339">
                  <c:v>154.86077807243544</c:v>
                </c:pt>
                <c:pt idx="340">
                  <c:v>155.44568400146488</c:v>
                </c:pt>
                <c:pt idx="341">
                  <c:v>156.0297734099116</c:v>
                </c:pt>
                <c:pt idx="342">
                  <c:v>156.61302708372946</c:v>
                </c:pt>
                <c:pt idx="343">
                  <c:v>157.19542586696684</c:v>
                </c:pt>
                <c:pt idx="344">
                  <c:v>157.7769506613443</c:v>
                </c:pt>
                <c:pt idx="345">
                  <c:v>158.35758242582591</c:v>
                </c:pt>
                <c:pt idx="346">
                  <c:v>158.93730217618403</c:v>
                </c:pt>
                <c:pt idx="347">
                  <c:v>159.51609098455785</c:v>
                </c:pt>
                <c:pt idx="348">
                  <c:v>160.09393024960306</c:v>
                </c:pt>
                <c:pt idx="349">
                  <c:v>160.67080196574881</c:v>
                </c:pt>
                <c:pt idx="350">
                  <c:v>161.24668845015864</c:v>
                </c:pt>
                <c:pt idx="351">
                  <c:v>161.82157207058117</c:v>
                </c:pt>
                <c:pt idx="352">
                  <c:v>162.39543524489628</c:v>
                </c:pt>
                <c:pt idx="353">
                  <c:v>162.96826044065688</c:v>
                </c:pt>
                <c:pt idx="354">
                  <c:v>163.54003017462577</c:v>
                </c:pt>
                <c:pt idx="355">
                  <c:v>164.11072701230799</c:v>
                </c:pt>
                <c:pt idx="356">
                  <c:v>164.68033356747861</c:v>
                </c:pt>
                <c:pt idx="357">
                  <c:v>165.24883250170618</c:v>
                </c:pt>
                <c:pt idx="358">
                  <c:v>165.81620652387161</c:v>
                </c:pt>
                <c:pt idx="359">
                  <c:v>166.38243838968299</c:v>
                </c:pt>
                <c:pt idx="360">
                  <c:v>166.9475165523227</c:v>
                </c:pt>
                <c:pt idx="361">
                  <c:v>167.5114407941424</c:v>
                </c:pt>
                <c:pt idx="362">
                  <c:v>168.07421653354444</c:v>
                </c:pt>
                <c:pt idx="363">
                  <c:v>168.63584915123621</c:v>
                </c:pt>
                <c:pt idx="364">
                  <c:v>169.19634399058282</c:v>
                </c:pt>
                <c:pt idx="365">
                  <c:v>169.75570635795563</c:v>
                </c:pt>
                <c:pt idx="366">
                  <c:v>170.31394152307675</c:v>
                </c:pt>
                <c:pt idx="367">
                  <c:v>170.87105471935945</c:v>
                </c:pt>
                <c:pt idx="368">
                  <c:v>171.42705114424461</c:v>
                </c:pt>
                <c:pt idx="369">
                  <c:v>171.98193595953339</c:v>
                </c:pt>
                <c:pt idx="370">
                  <c:v>172.53571429171581</c:v>
                </c:pt>
                <c:pt idx="371">
                  <c:v>173.08839123229578</c:v>
                </c:pt>
                <c:pt idx="372">
                  <c:v>173.63997183811225</c:v>
                </c:pt>
                <c:pt idx="373">
                  <c:v>174.19046113165663</c:v>
                </c:pt>
                <c:pt idx="374">
                  <c:v>174.7398641013867</c:v>
                </c:pt>
                <c:pt idx="375">
                  <c:v>175.28818570203677</c:v>
                </c:pt>
                <c:pt idx="376">
                  <c:v>175.83543085492445</c:v>
                </c:pt>
                <c:pt idx="377">
                  <c:v>176.3816044482538</c:v>
                </c:pt>
                <c:pt idx="378">
                  <c:v>176.9267113374151</c:v>
                </c:pt>
                <c:pt idx="379">
                  <c:v>177.47075634528122</c:v>
                </c:pt>
                <c:pt idx="380">
                  <c:v>178.01374426250058</c:v>
                </c:pt>
                <c:pt idx="381">
                  <c:v>178.55567984778685</c:v>
                </c:pt>
                <c:pt idx="382">
                  <c:v>179.09656782820542</c:v>
                </c:pt>
                <c:pt idx="383">
                  <c:v>179.63641289945653</c:v>
                </c:pt>
                <c:pt idx="384">
                  <c:v>180.17521972615538</c:v>
                </c:pt>
                <c:pt idx="385">
                  <c:v>180.71299294210894</c:v>
                </c:pt>
                <c:pt idx="386">
                  <c:v>181.24973715058985</c:v>
                </c:pt>
                <c:pt idx="387">
                  <c:v>181.7854569246071</c:v>
                </c:pt>
                <c:pt idx="388">
                  <c:v>182.32015680717384</c:v>
                </c:pt>
                <c:pt idx="389">
                  <c:v>182.85384131157213</c:v>
                </c:pt>
                <c:pt idx="390">
                  <c:v>183.38651492161472</c:v>
                </c:pt>
                <c:pt idx="391">
                  <c:v>183.91818209190416</c:v>
                </c:pt>
                <c:pt idx="392">
                  <c:v>184.44884724808881</c:v>
                </c:pt>
                <c:pt idx="393">
                  <c:v>184.97851478711613</c:v>
                </c:pt>
                <c:pt idx="394">
                  <c:v>185.50718907748322</c:v>
                </c:pt>
                <c:pt idx="395">
                  <c:v>186.0348744594846</c:v>
                </c:pt>
                <c:pt idx="396">
                  <c:v>186.56157524545731</c:v>
                </c:pt>
                <c:pt idx="397">
                  <c:v>187.08729572002323</c:v>
                </c:pt>
                <c:pt idx="398">
                  <c:v>187.61204014032896</c:v>
                </c:pt>
                <c:pt idx="399">
                  <c:v>188.13581273628287</c:v>
                </c:pt>
                <c:pt idx="400">
                  <c:v>188.65861771078985</c:v>
                </c:pt>
                <c:pt idx="401">
                  <c:v>193.8337716267321</c:v>
                </c:pt>
                <c:pt idx="402">
                  <c:v>198.91483405966113</c:v>
                </c:pt>
                <c:pt idx="403">
                  <c:v>203.90576853679144</c:v>
                </c:pt>
                <c:pt idx="404">
                  <c:v>208.81029635279913</c:v>
                </c:pt>
                <c:pt idx="405">
                  <c:v>213.63191621488454</c:v>
                </c:pt>
                <c:pt idx="406">
                  <c:v>218.37392192157543</c:v>
                </c:pt>
                <c:pt idx="407">
                  <c:v>223.03941830813383</c:v>
                </c:pt>
                <c:pt idx="408">
                  <c:v>227.63133565974019</c:v>
                </c:pt>
                <c:pt idx="409">
                  <c:v>232.1524427667911</c:v>
                </c:pt>
                <c:pt idx="410">
                  <c:v>236.60535877383842</c:v>
                </c:pt>
                <c:pt idx="411">
                  <c:v>240.99256395424749</c:v>
                </c:pt>
                <c:pt idx="412">
                  <c:v>245.31640952601444</c:v>
                </c:pt>
                <c:pt idx="413">
                  <c:v>249.57912660990539</c:v>
                </c:pt>
                <c:pt idx="414">
                  <c:v>253.78283441879188</c:v>
                </c:pt>
                <c:pt idx="415">
                  <c:v>257.92954775645194</c:v>
                </c:pt>
                <c:pt idx="416">
                  <c:v>262.02118389492745</c:v>
                </c:pt>
                <c:pt idx="417">
                  <c:v>266.05956889156272</c:v>
                </c:pt>
                <c:pt idx="418">
                  <c:v>270.04644339992109</c:v>
                </c:pt>
                <c:pt idx="419">
                  <c:v>273.98346802273238</c:v>
                </c:pt>
                <c:pt idx="420">
                  <c:v>277.87222824974191</c:v>
                </c:pt>
                <c:pt idx="421">
                  <c:v>281.71423901870298</c:v>
                </c:pt>
                <c:pt idx="422">
                  <c:v>285.51094893369117</c:v>
                </c:pt>
                <c:pt idx="423">
                  <c:v>289.26374417134065</c:v>
                </c:pt>
                <c:pt idx="424">
                  <c:v>292.97395210245105</c:v>
                </c:pt>
                <c:pt idx="425">
                  <c:v>296.64284465362476</c:v>
                </c:pt>
                <c:pt idx="426">
                  <c:v>300.27164143112867</c:v>
                </c:pt>
                <c:pt idx="427">
                  <c:v>303.86151262698638</c:v>
                </c:pt>
                <c:pt idx="428">
                  <c:v>307.41358172536161</c:v>
                </c:pt>
                <c:pt idx="429">
                  <c:v>310.92892802556429</c:v>
                </c:pt>
                <c:pt idx="430">
                  <c:v>314.40858899646622</c:v>
                </c:pt>
                <c:pt idx="431">
                  <c:v>317.85356247573594</c:v>
                </c:pt>
                <c:pt idx="432">
                  <c:v>321.26480872606925</c:v>
                </c:pt>
                <c:pt idx="433">
                  <c:v>324.64325235948638</c:v>
                </c:pt>
                <c:pt idx="434">
                  <c:v>327.98978413977642</c:v>
                </c:pt>
                <c:pt idx="435">
                  <c:v>331.30526267227782</c:v>
                </c:pt>
                <c:pt idx="436">
                  <c:v>334.59051598938242</c:v>
                </c:pt>
                <c:pt idx="437">
                  <c:v>337.84634303942761</c:v>
                </c:pt>
                <c:pt idx="438">
                  <c:v>341.07351508598862</c:v>
                </c:pt>
                <c:pt idx="439">
                  <c:v>344.27277702399419</c:v>
                </c:pt>
                <c:pt idx="440">
                  <c:v>347.44484861855494</c:v>
                </c:pt>
                <c:pt idx="441">
                  <c:v>350.5904256719104</c:v>
                </c:pt>
                <c:pt idx="442">
                  <c:v>353.71018112346286</c:v>
                </c:pt>
                <c:pt idx="443">
                  <c:v>356.80476608746721</c:v>
                </c:pt>
                <c:pt idx="444">
                  <c:v>359.87481083258456</c:v>
                </c:pt>
                <c:pt idx="445">
                  <c:v>362.92092570717722</c:v>
                </c:pt>
                <c:pt idx="446">
                  <c:v>365.94370201392212</c:v>
                </c:pt>
                <c:pt idx="447">
                  <c:v>368.94371283704646</c:v>
                </c:pt>
                <c:pt idx="448">
                  <c:v>371.92151382523747</c:v>
                </c:pt>
                <c:pt idx="449">
                  <c:v>374.87764393305048</c:v>
                </c:pt>
                <c:pt idx="450">
                  <c:v>377.81262612342937</c:v>
                </c:pt>
                <c:pt idx="451">
                  <c:v>380.72696803376095</c:v>
                </c:pt>
                <c:pt idx="452">
                  <c:v>383.62116260770938</c:v>
                </c:pt>
                <c:pt idx="453">
                  <c:v>386.49568869491441</c:v>
                </c:pt>
                <c:pt idx="454">
                  <c:v>389.3510116204888</c:v>
                </c:pt>
                <c:pt idx="455">
                  <c:v>392.1875837261133</c:v>
                </c:pt>
                <c:pt idx="456">
                  <c:v>395.00584488440177</c:v>
                </c:pt>
                <c:pt idx="457">
                  <c:v>397.80622298809237</c:v>
                </c:pt>
                <c:pt idx="458">
                  <c:v>400.58913441551471</c:v>
                </c:pt>
                <c:pt idx="459">
                  <c:v>403.35498447368252</c:v>
                </c:pt>
                <c:pt idx="460">
                  <c:v>406.10416782027096</c:v>
                </c:pt>
                <c:pt idx="461">
                  <c:v>408.83706886565216</c:v>
                </c:pt>
                <c:pt idx="462">
                  <c:v>411.55406215608525</c:v>
                </c:pt>
                <c:pt idx="463">
                  <c:v>414.25551273908303</c:v>
                </c:pt>
                <c:pt idx="464">
                  <c:v>416.94177651191114</c:v>
                </c:pt>
                <c:pt idx="465">
                  <c:v>419.61320055411221</c:v>
                </c:pt>
                <c:pt idx="466">
                  <c:v>422.27012344488901</c:v>
                </c:pt>
                <c:pt idx="467">
                  <c:v>424.91287556612684</c:v>
                </c:pt>
                <c:pt idx="468">
                  <c:v>427.54177939178413</c:v>
                </c:pt>
                <c:pt idx="469">
                  <c:v>430.15714976433298</c:v>
                </c:pt>
                <c:pt idx="470">
                  <c:v>432.75929415888766</c:v>
                </c:pt>
                <c:pt idx="471">
                  <c:v>435.3485129356165</c:v>
                </c:pt>
                <c:pt idx="472">
                  <c:v>437.92509958099544</c:v>
                </c:pt>
                <c:pt idx="473">
                  <c:v>440.48934093842291</c:v>
                </c:pt>
                <c:pt idx="474">
                  <c:v>443.04151742868299</c:v>
                </c:pt>
                <c:pt idx="475">
                  <c:v>445.58190326071082</c:v>
                </c:pt>
                <c:pt idx="476">
                  <c:v>448.1107666330833</c:v>
                </c:pt>
                <c:pt idx="477">
                  <c:v>450.62836992662949</c:v>
                </c:pt>
                <c:pt idx="478">
                  <c:v>453.13496988852711</c:v>
                </c:pt>
                <c:pt idx="479">
                  <c:v>455.63081780822574</c:v>
                </c:pt>
                <c:pt idx="480">
                  <c:v>458.116159685512</c:v>
                </c:pt>
                <c:pt idx="481">
                  <c:v>460.59123639100744</c:v>
                </c:pt>
                <c:pt idx="482">
                  <c:v>463.05628381936731</c:v>
                </c:pt>
                <c:pt idx="483">
                  <c:v>465.51153303542571</c:v>
                </c:pt>
                <c:pt idx="484">
                  <c:v>467.95721041351044</c:v>
                </c:pt>
                <c:pt idx="485">
                  <c:v>470.39353777013048</c:v>
                </c:pt>
                <c:pt idx="486">
                  <c:v>472.82073249021715</c:v>
                </c:pt>
                <c:pt idx="487">
                  <c:v>475.23900764708031</c:v>
                </c:pt>
                <c:pt idx="488">
                  <c:v>477.64857211622046</c:v>
                </c:pt>
                <c:pt idx="489">
                  <c:v>480.04963068311662</c:v>
                </c:pt>
                <c:pt idx="490">
                  <c:v>482.44238414509107</c:v>
                </c:pt>
                <c:pt idx="491">
                  <c:v>484.82702940732992</c:v>
                </c:pt>
                <c:pt idx="492">
                  <c:v>487.20375957311938</c:v>
                </c:pt>
                <c:pt idx="493">
                  <c:v>489.57276402833526</c:v>
                </c:pt>
                <c:pt idx="494">
                  <c:v>491.93422852020302</c:v>
                </c:pt>
                <c:pt idx="495">
                  <c:v>494.28833523032262</c:v>
                </c:pt>
                <c:pt idx="496">
                  <c:v>496.63526284193057</c:v>
                </c:pt>
                <c:pt idx="497">
                  <c:v>498.97518660134756</c:v>
                </c:pt>
                <c:pt idx="498">
                  <c:v>501.30827837353661</c:v>
                </c:pt>
                <c:pt idx="499">
                  <c:v>503.63470669167049</c:v>
                </c:pt>
                <c:pt idx="500">
                  <c:v>505.95463680058253</c:v>
                </c:pt>
                <c:pt idx="501">
                  <c:v>508.26823069394743</c:v>
                </c:pt>
                <c:pt idx="502">
                  <c:v>510.57564714501058</c:v>
                </c:pt>
                <c:pt idx="503">
                  <c:v>512.87704173065731</c:v>
                </c:pt>
                <c:pt idx="504">
                  <c:v>515.17256684858319</c:v>
                </c:pt>
                <c:pt idx="505">
                  <c:v>517.46237172729877</c:v>
                </c:pt>
                <c:pt idx="506">
                  <c:v>519.74660242867162</c:v>
                </c:pt>
                <c:pt idx="507">
                  <c:v>522.02540184268253</c:v>
                </c:pt>
                <c:pt idx="508">
                  <c:v>524.29890967404435</c:v>
                </c:pt>
                <c:pt idx="509">
                  <c:v>526.56726242030879</c:v>
                </c:pt>
                <c:pt idx="510">
                  <c:v>528.83059334106736</c:v>
                </c:pt>
                <c:pt idx="511">
                  <c:v>531.0890324178373</c:v>
                </c:pt>
                <c:pt idx="512">
                  <c:v>533.34270630421827</c:v>
                </c:pt>
                <c:pt idx="513">
                  <c:v>535.59173826590904</c:v>
                </c:pt>
                <c:pt idx="514">
                  <c:v>537.8362481101924</c:v>
                </c:pt>
                <c:pt idx="515">
                  <c:v>540.07635210453145</c:v>
                </c:pt>
                <c:pt idx="516">
                  <c:v>542.31216288397877</c:v>
                </c:pt>
                <c:pt idx="517">
                  <c:v>544.5437893471842</c:v>
                </c:pt>
                <c:pt idx="518">
                  <c:v>546.77133654090494</c:v>
                </c:pt>
                <c:pt idx="519">
                  <c:v>548.99490553307578</c:v>
                </c:pt>
                <c:pt idx="520">
                  <c:v>551.21459327469768</c:v>
                </c:pt>
                <c:pt idx="521">
                  <c:v>553.43049245105067</c:v>
                </c:pt>
                <c:pt idx="522">
                  <c:v>555.6426913230365</c:v>
                </c:pt>
                <c:pt idx="523">
                  <c:v>557.85127355981263</c:v>
                </c:pt>
                <c:pt idx="524">
                  <c:v>560.05631806428255</c:v>
                </c:pt>
                <c:pt idx="525">
                  <c:v>562.25789879346155</c:v>
                </c:pt>
                <c:pt idx="526">
                  <c:v>564.45608457621586</c:v>
                </c:pt>
                <c:pt idx="527">
                  <c:v>566.65093893137293</c:v>
                </c:pt>
                <c:pt idx="528">
                  <c:v>568.84251988967662</c:v>
                </c:pt>
                <c:pt idx="529">
                  <c:v>571.0308798234945</c:v>
                </c:pt>
                <c:pt idx="530">
                  <c:v>573.21606528852476</c:v>
                </c:pt>
                <c:pt idx="531">
                  <c:v>575.39811688195857</c:v>
                </c:pt>
                <c:pt idx="532">
                  <c:v>577.57706912159017</c:v>
                </c:pt>
                <c:pt idx="533">
                  <c:v>579.75295035019542</c:v>
                </c:pt>
                <c:pt idx="534">
                  <c:v>581.92578266910311</c:v>
                </c:pt>
                <c:pt idx="535">
                  <c:v>584.09558190425594</c:v>
                </c:pt>
                <c:pt idx="536">
                  <c:v>586.2623576072275</c:v>
                </c:pt>
                <c:pt idx="537">
                  <c:v>588.42611309266033</c:v>
                </c:pt>
                <c:pt idx="538">
                  <c:v>590.58684551249155</c:v>
                </c:pt>
                <c:pt idx="539">
                  <c:v>592.74454596620171</c:v>
                </c:pt>
                <c:pt idx="540">
                  <c:v>594.89919964524324</c:v>
                </c:pt>
                <c:pt idx="541">
                  <c:v>597.05078600884713</c:v>
                </c:pt>
                <c:pt idx="542">
                  <c:v>599.19927898762967</c:v>
                </c:pt>
                <c:pt idx="543">
                  <c:v>601.3446472108634</c:v>
                </c:pt>
                <c:pt idx="544">
                  <c:v>603.48685425294832</c:v>
                </c:pt>
                <c:pt idx="545">
                  <c:v>605.62585889452293</c:v>
                </c:pt>
                <c:pt idx="546">
                  <c:v>607.76161539375505</c:v>
                </c:pt>
                <c:pt idx="547">
                  <c:v>609.89407376362158</c:v>
                </c:pt>
                <c:pt idx="548">
                  <c:v>612.02318005137579</c:v>
                </c:pt>
                <c:pt idx="549">
                  <c:v>614.14887661686919</c:v>
                </c:pt>
                <c:pt idx="550">
                  <c:v>616.27110240690388</c:v>
                </c:pt>
                <c:pt idx="551">
                  <c:v>618.38979322330192</c:v>
                </c:pt>
                <c:pt idx="552">
                  <c:v>620.5048819828728</c:v>
                </c:pt>
                <c:pt idx="553">
                  <c:v>622.61629896791146</c:v>
                </c:pt>
                <c:pt idx="554">
                  <c:v>624.72397206626295</c:v>
                </c:pt>
                <c:pt idx="555">
                  <c:v>626.82782700033761</c:v>
                </c:pt>
                <c:pt idx="556">
                  <c:v>628.9277875447516</c:v>
                </c:pt>
                <c:pt idx="557">
                  <c:v>631.02377573250499</c:v>
                </c:pt>
                <c:pt idx="558">
                  <c:v>633.11571204979953</c:v>
                </c:pt>
                <c:pt idx="559">
                  <c:v>635.2035156197403</c:v>
                </c:pt>
                <c:pt idx="560">
                  <c:v>637.28710437527434</c:v>
                </c:pt>
                <c:pt idx="561">
                  <c:v>639.36639522179553</c:v>
                </c:pt>
                <c:pt idx="562">
                  <c:v>641.44130418989175</c:v>
                </c:pt>
                <c:pt idx="563">
                  <c:v>643.51174657874321</c:v>
                </c:pt>
                <c:pt idx="564">
                  <c:v>645.57763709069013</c:v>
                </c:pt>
                <c:pt idx="565">
                  <c:v>647.6388899574896</c:v>
                </c:pt>
                <c:pt idx="566">
                  <c:v>649.69541905877202</c:v>
                </c:pt>
                <c:pt idx="567">
                  <c:v>651.74713803319116</c:v>
                </c:pt>
                <c:pt idx="568">
                  <c:v>653.79396038274058</c:v>
                </c:pt>
                <c:pt idx="569">
                  <c:v>655.83579957068582</c:v>
                </c:pt>
                <c:pt idx="570">
                  <c:v>657.87256911353643</c:v>
                </c:pt>
                <c:pt idx="571">
                  <c:v>659.90418266745473</c:v>
                </c:pt>
                <c:pt idx="572">
                  <c:v>661.93055410947136</c:v>
                </c:pt>
                <c:pt idx="573">
                  <c:v>663.95159761385298</c:v>
                </c:pt>
                <c:pt idx="574">
                  <c:v>665.96722772394116</c:v>
                </c:pt>
                <c:pt idx="575">
                  <c:v>667.97735941975805</c:v>
                </c:pt>
                <c:pt idx="576">
                  <c:v>669.98190818165153</c:v>
                </c:pt>
                <c:pt idx="577">
                  <c:v>671.98079005023067</c:v>
                </c:pt>
                <c:pt idx="578">
                  <c:v>673.97392168282352</c:v>
                </c:pt>
                <c:pt idx="579">
                  <c:v>675.96122040667024</c:v>
                </c:pt>
                <c:pt idx="580">
                  <c:v>677.94260426904634</c:v>
                </c:pt>
                <c:pt idx="581">
                  <c:v>679.91799208449731</c:v>
                </c:pt>
                <c:pt idx="582">
                  <c:v>681.8873034793495</c:v>
                </c:pt>
                <c:pt idx="583">
                  <c:v>683.85045893364952</c:v>
                </c:pt>
                <c:pt idx="584">
                  <c:v>685.80737982067228</c:v>
                </c:pt>
                <c:pt idx="585">
                  <c:v>687.75798844412725</c:v>
                </c:pt>
                <c:pt idx="586">
                  <c:v>689.7022080731806</c:v>
                </c:pt>
                <c:pt idx="587">
                  <c:v>691.63996297540439</c:v>
                </c:pt>
                <c:pt idx="588">
                  <c:v>693.57117844775235</c:v>
                </c:pt>
                <c:pt idx="589">
                  <c:v>695.49578084565746</c:v>
                </c:pt>
                <c:pt idx="590">
                  <c:v>697.41369761033718</c:v>
                </c:pt>
                <c:pt idx="591">
                  <c:v>699.32485729438622</c:v>
                </c:pt>
                <c:pt idx="592">
                  <c:v>701.22918958573257</c:v>
                </c:pt>
                <c:pt idx="593">
                  <c:v>703.12662533002538</c:v>
                </c:pt>
                <c:pt idx="594">
                  <c:v>705.01709655151944</c:v>
                </c:pt>
                <c:pt idx="595">
                  <c:v>706.90053647251739</c:v>
                </c:pt>
                <c:pt idx="596">
                  <c:v>708.7768795314247</c:v>
                </c:pt>
                <c:pt idx="597">
                  <c:v>710.64606139947216</c:v>
                </c:pt>
                <c:pt idx="598">
                  <c:v>712.50801899615431</c:v>
                </c:pt>
                <c:pt idx="599">
                  <c:v>714.36269050343117</c:v>
                </c:pt>
                <c:pt idx="600">
                  <c:v>716.21001537873747</c:v>
                </c:pt>
                <c:pt idx="601">
                  <c:v>718.04993436684117</c:v>
                </c:pt>
                <c:pt idx="602">
                  <c:v>719.88238951059066</c:v>
                </c:pt>
                <c:pt idx="603">
                  <c:v>721.707324160589</c:v>
                </c:pt>
                <c:pt idx="604">
                  <c:v>723.52468298382985</c:v>
                </c:pt>
                <c:pt idx="605">
                  <c:v>725.33441197133061</c:v>
                </c:pt>
                <c:pt idx="606">
                  <c:v>727.13645844479447</c:v>
                </c:pt>
                <c:pt idx="607">
                  <c:v>728.93077106233329</c:v>
                </c:pt>
                <c:pt idx="608">
                  <c:v>730.71729982328088</c:v>
                </c:pt>
                <c:pt idx="609">
                  <c:v>732.49599607212622</c:v>
                </c:pt>
                <c:pt idx="610">
                  <c:v>734.26681250159436</c:v>
                </c:pt>
                <c:pt idx="611">
                  <c:v>736.02970315490165</c:v>
                </c:pt>
                <c:pt idx="612">
                  <c:v>737.78462342721139</c:v>
                </c:pt>
                <c:pt idx="613">
                  <c:v>739.53153006631601</c:v>
                </c:pt>
                <c:pt idx="614">
                  <c:v>741.27038117256916</c:v>
                </c:pt>
                <c:pt idx="615">
                  <c:v>743.00113619809235</c:v>
                </c:pt>
                <c:pt idx="616">
                  <c:v>744.72375594527898</c:v>
                </c:pt>
                <c:pt idx="617">
                  <c:v>746.43820256461868</c:v>
                </c:pt>
                <c:pt idx="618">
                  <c:v>748.14443955186368</c:v>
                </c:pt>
                <c:pt idx="619">
                  <c:v>749.84243174455935</c:v>
                </c:pt>
                <c:pt idx="620">
                  <c:v>751.53214531795902</c:v>
                </c:pt>
                <c:pt idx="621">
                  <c:v>753.21354778034515</c:v>
                </c:pt>
                <c:pt idx="622">
                  <c:v>754.88660796777515</c:v>
                </c:pt>
                <c:pt idx="623">
                  <c:v>756.55129603827379</c:v>
                </c:pt>
                <c:pt idx="624">
                  <c:v>758.20758346549007</c:v>
                </c:pt>
                <c:pt idx="625">
                  <c:v>759.85544303183781</c:v>
                </c:pt>
                <c:pt idx="626">
                  <c:v>761.4948488211395</c:v>
                </c:pt>
                <c:pt idx="627">
                  <c:v>763.12577621079106</c:v>
                </c:pt>
                <c:pt idx="628">
                  <c:v>764.74820186346528</c:v>
                </c:pt>
                <c:pt idx="629">
                  <c:v>766.36210371837262</c:v>
                </c:pt>
                <c:pt idx="630">
                  <c:v>767.96746098209599</c:v>
                </c:pt>
                <c:pt idx="631">
                  <c:v>769.5642541190166</c:v>
                </c:pt>
                <c:pt idx="632">
                  <c:v>771.15246484134855</c:v>
                </c:pt>
                <c:pt idx="633">
                  <c:v>772.73207609879739</c:v>
                </c:pt>
                <c:pt idx="634">
                  <c:v>774.30307206786017</c:v>
                </c:pt>
                <c:pt idx="635">
                  <c:v>775.86543814078186</c:v>
                </c:pt>
                <c:pt idx="636">
                  <c:v>777.41916091418477</c:v>
                </c:pt>
                <c:pt idx="637">
                  <c:v>778.96422817738517</c:v>
                </c:pt>
                <c:pt idx="638">
                  <c:v>780.50062890041409</c:v>
                </c:pt>
                <c:pt idx="639">
                  <c:v>782.02835322175497</c:v>
                </c:pt>
                <c:pt idx="640">
                  <c:v>783.54739243581423</c:v>
                </c:pt>
                <c:pt idx="641">
                  <c:v>785.05773898013911</c:v>
                </c:pt>
                <c:pt idx="642">
                  <c:v>786.55938642239551</c:v>
                </c:pt>
                <c:pt idx="643">
                  <c:v>788.05232944712111</c:v>
                </c:pt>
                <c:pt idx="644">
                  <c:v>789.5365638422669</c:v>
                </c:pt>
                <c:pt idx="645">
                  <c:v>791.01208648553916</c:v>
                </c:pt>
                <c:pt idx="646">
                  <c:v>792.47889533055695</c:v>
                </c:pt>
                <c:pt idx="647">
                  <c:v>793.93698939283615</c:v>
                </c:pt>
                <c:pt idx="648">
                  <c:v>795.38636873561313</c:v>
                </c:pt>
                <c:pt idx="649">
                  <c:v>796.82703445552022</c:v>
                </c:pt>
                <c:pt idx="650">
                  <c:v>798.25898866812508</c:v>
                </c:pt>
                <c:pt idx="651">
                  <c:v>799.68223449334494</c:v>
                </c:pt>
                <c:pt idx="652">
                  <c:v>801.09677604074818</c:v>
                </c:pt>
                <c:pt idx="653">
                  <c:v>802.50261839475309</c:v>
                </c:pt>
                <c:pt idx="654">
                  <c:v>803.89976759973592</c:v>
                </c:pt>
                <c:pt idx="655">
                  <c:v>805.28823064505787</c:v>
                </c:pt>
                <c:pt idx="656">
                  <c:v>806.6680154500217</c:v>
                </c:pt>
                <c:pt idx="657">
                  <c:v>808.0391308487682</c:v>
                </c:pt>
                <c:pt idx="658">
                  <c:v>809.401586575122</c:v>
                </c:pt>
                <c:pt idx="659">
                  <c:v>810.75539324739657</c:v>
                </c:pt>
                <c:pt idx="660">
                  <c:v>812.10056235316745</c:v>
                </c:pt>
                <c:pt idx="661">
                  <c:v>813.43710623402262</c:v>
                </c:pt>
                <c:pt idx="662">
                  <c:v>814.7650380702994</c:v>
                </c:pt>
                <c:pt idx="663">
                  <c:v>816.0843718658158</c:v>
                </c:pt>
                <c:pt idx="664">
                  <c:v>817.39512243260435</c:v>
                </c:pt>
                <c:pt idx="665">
                  <c:v>818.69730537565772</c:v>
                </c:pt>
                <c:pt idx="666">
                  <c:v>819.99093707769202</c:v>
                </c:pt>
                <c:pt idx="667">
                  <c:v>821.27603468393681</c:v>
                </c:pt>
                <c:pt idx="668">
                  <c:v>822.55261608695866</c:v>
                </c:pt>
                <c:pt idx="669">
                  <c:v>823.8206999115248</c:v>
                </c:pt>
                <c:pt idx="670">
                  <c:v>825.08030549951411</c:v>
                </c:pt>
                <c:pt idx="671">
                  <c:v>826.33145289488198</c:v>
                </c:pt>
                <c:pt idx="672">
                  <c:v>827.5741628286853</c:v>
                </c:pt>
                <c:pt idx="673">
                  <c:v>828.80845670417364</c:v>
                </c:pt>
                <c:pt idx="674">
                  <c:v>830.03435658195201</c:v>
                </c:pt>
                <c:pt idx="675">
                  <c:v>831.25188516522201</c:v>
                </c:pt>
                <c:pt idx="676">
                  <c:v>832.46106578510557</c:v>
                </c:pt>
                <c:pt idx="677">
                  <c:v>833.66192238605686</c:v>
                </c:pt>
                <c:pt idx="678">
                  <c:v>834.85447951136757</c:v>
                </c:pt>
                <c:pt idx="679">
                  <c:v>836.03876228877004</c:v>
                </c:pt>
                <c:pt idx="680">
                  <c:v>837.21479641614314</c:v>
                </c:pt>
                <c:pt idx="681">
                  <c:v>838.38260814732439</c:v>
                </c:pt>
                <c:pt idx="682">
                  <c:v>839.5422242780337</c:v>
                </c:pt>
                <c:pt idx="683">
                  <c:v>840.6936721319114</c:v>
                </c:pt>
                <c:pt idx="684">
                  <c:v>841.83697954667514</c:v>
                </c:pt>
                <c:pt idx="685">
                  <c:v>842.97217486039915</c:v>
                </c:pt>
                <c:pt idx="686">
                  <c:v>844.09928689791877</c:v>
                </c:pt>
                <c:pt idx="687">
                  <c:v>845.21834495736357</c:v>
                </c:pt>
                <c:pt idx="688">
                  <c:v>846.32937879682254</c:v>
                </c:pt>
                <c:pt idx="689">
                  <c:v>847.43241862114348</c:v>
                </c:pt>
                <c:pt idx="690">
                  <c:v>848.5274950688696</c:v>
                </c:pt>
                <c:pt idx="691">
                  <c:v>849.61463919931566</c:v>
                </c:pt>
                <c:pt idx="692">
                  <c:v>850.69388247978668</c:v>
                </c:pt>
                <c:pt idx="693">
                  <c:v>851.76525677293955</c:v>
                </c:pt>
                <c:pt idx="694">
                  <c:v>852.82879432429206</c:v>
                </c:pt>
                <c:pt idx="695">
                  <c:v>853.884527749879</c:v>
                </c:pt>
                <c:pt idx="696">
                  <c:v>854.9324900240581</c:v>
                </c:pt>
                <c:pt idx="697">
                  <c:v>855.9727144674672</c:v>
                </c:pt>
                <c:pt idx="698">
                  <c:v>857.0052347351342</c:v>
                </c:pt>
                <c:pt idx="699">
                  <c:v>858.03008480474057</c:v>
                </c:pt>
                <c:pt idx="700">
                  <c:v>859.04729896504011</c:v>
                </c:pt>
                <c:pt idx="701">
                  <c:v>860.05691180443353</c:v>
                </c:pt>
                <c:pt idx="702">
                  <c:v>861.05895819969999</c:v>
                </c:pt>
                <c:pt idx="703">
                  <c:v>862.05347330488644</c:v>
                </c:pt>
                <c:pt idx="704">
                  <c:v>863.04049254035522</c:v>
                </c:pt>
                <c:pt idx="705">
                  <c:v>864.02005158199051</c:v>
                </c:pt>
                <c:pt idx="706">
                  <c:v>864.99218635056377</c:v>
                </c:pt>
                <c:pt idx="707">
                  <c:v>865.95693300125924</c:v>
                </c:pt>
                <c:pt idx="708">
                  <c:v>866.91432791335899</c:v>
                </c:pt>
                <c:pt idx="709">
                  <c:v>867.86440768008777</c:v>
                </c:pt>
                <c:pt idx="710">
                  <c:v>868.80720909861793</c:v>
                </c:pt>
                <c:pt idx="711">
                  <c:v>869.74276916023405</c:v>
                </c:pt>
                <c:pt idx="712">
                  <c:v>870.67112504065756</c:v>
                </c:pt>
                <c:pt idx="713">
                  <c:v>871.59231409053029</c:v>
                </c:pt>
                <c:pt idx="714">
                  <c:v>872.5063738260576</c:v>
                </c:pt>
                <c:pt idx="715">
                  <c:v>873.41334191980968</c:v>
                </c:pt>
                <c:pt idx="716">
                  <c:v>874.31325619168138</c:v>
                </c:pt>
                <c:pt idx="717">
                  <c:v>875.20615460000965</c:v>
                </c:pt>
                <c:pt idx="718">
                  <c:v>876.09207523284783</c:v>
                </c:pt>
                <c:pt idx="719">
                  <c:v>876.97105629939585</c:v>
                </c:pt>
                <c:pt idx="720">
                  <c:v>877.84313612158689</c:v>
                </c:pt>
                <c:pt idx="721">
                  <c:v>878.70835312582756</c:v>
                </c:pt>
                <c:pt idx="722">
                  <c:v>879.5667458348928</c:v>
                </c:pt>
                <c:pt idx="723">
                  <c:v>880.41835285997308</c:v>
                </c:pt>
                <c:pt idx="724">
                  <c:v>881.26321289287353</c:v>
                </c:pt>
                <c:pt idx="725">
                  <c:v>882.10136469836414</c:v>
                </c:pt>
                <c:pt idx="726">
                  <c:v>882.93284710667922</c:v>
                </c:pt>
                <c:pt idx="727">
                  <c:v>883.75769900616569</c:v>
                </c:pt>
                <c:pt idx="728">
                  <c:v>884.57595933607888</c:v>
                </c:pt>
                <c:pt idx="729">
                  <c:v>885.38766707952414</c:v>
                </c:pt>
                <c:pt idx="730">
                  <c:v>886.19286125654344</c:v>
                </c:pt>
                <c:pt idx="731">
                  <c:v>886.99158091734569</c:v>
                </c:pt>
                <c:pt idx="732">
                  <c:v>887.78386513567932</c:v>
                </c:pt>
                <c:pt idx="733">
                  <c:v>888.56975300234558</c:v>
                </c:pt>
                <c:pt idx="734">
                  <c:v>889.34928361885136</c:v>
                </c:pt>
                <c:pt idx="735">
                  <c:v>890.12249609120022</c:v>
                </c:pt>
                <c:pt idx="736">
                  <c:v>890.88942952382013</c:v>
                </c:pt>
                <c:pt idx="737">
                  <c:v>891.65012301362606</c:v>
                </c:pt>
                <c:pt idx="738">
                  <c:v>892.40461564421628</c:v>
                </c:pt>
                <c:pt idx="739">
                  <c:v>893.15294648020119</c:v>
                </c:pt>
                <c:pt idx="740">
                  <c:v>893.89515456166237</c:v>
                </c:pt>
                <c:pt idx="741">
                  <c:v>894.63127889874102</c:v>
                </c:pt>
                <c:pt idx="742">
                  <c:v>895.36135846635341</c:v>
                </c:pt>
                <c:pt idx="743">
                  <c:v>896.08543219903299</c:v>
                </c:pt>
                <c:pt idx="744">
                  <c:v>896.80353898589624</c:v>
                </c:pt>
                <c:pt idx="745">
                  <c:v>897.51571766573159</c:v>
                </c:pt>
                <c:pt idx="746">
                  <c:v>898.22200702220937</c:v>
                </c:pt>
                <c:pt idx="747">
                  <c:v>898.92244577921133</c:v>
                </c:pt>
                <c:pt idx="748">
                  <c:v>899.61707259627804</c:v>
                </c:pt>
                <c:pt idx="749">
                  <c:v>900.30592606417258</c:v>
                </c:pt>
                <c:pt idx="750">
                  <c:v>900.98904470055891</c:v>
                </c:pt>
                <c:pt idx="751">
                  <c:v>901.66646694579345</c:v>
                </c:pt>
                <c:pt idx="752">
                  <c:v>902.33823115882751</c:v>
                </c:pt>
                <c:pt idx="753">
                  <c:v>903.00437561321996</c:v>
                </c:pt>
                <c:pt idx="754">
                  <c:v>903.66493849325809</c:v>
                </c:pt>
                <c:pt idx="755">
                  <c:v>904.31995789018436</c:v>
                </c:pt>
                <c:pt idx="756">
                  <c:v>904.9694717985285</c:v>
                </c:pt>
                <c:pt idx="757">
                  <c:v>905.61351811254303</c:v>
                </c:pt>
                <c:pt idx="758">
                  <c:v>906.25213462273962</c:v>
                </c:pt>
                <c:pt idx="759">
                  <c:v>906.88535901252624</c:v>
                </c:pt>
                <c:pt idx="760">
                  <c:v>907.51322885494233</c:v>
                </c:pt>
                <c:pt idx="761">
                  <c:v>908.13578160949044</c:v>
                </c:pt>
                <c:pt idx="762">
                  <c:v>908.75305461906385</c:v>
                </c:pt>
                <c:pt idx="763">
                  <c:v>909.36508510696706</c:v>
                </c:pt>
                <c:pt idx="764">
                  <c:v>909.97191017402838</c:v>
                </c:pt>
                <c:pt idx="765">
                  <c:v>910.57356679580346</c:v>
                </c:pt>
                <c:pt idx="766">
                  <c:v>911.17009181986703</c:v>
                </c:pt>
                <c:pt idx="767">
                  <c:v>911.76152196319265</c:v>
                </c:pt>
                <c:pt idx="768">
                  <c:v>912.34789380961752</c:v>
                </c:pt>
                <c:pt idx="769">
                  <c:v>912.92924380739214</c:v>
                </c:pt>
                <c:pt idx="770">
                  <c:v>913.50560826681226</c:v>
                </c:pt>
                <c:pt idx="771">
                  <c:v>914.07702335793272</c:v>
                </c:pt>
                <c:pt idx="772">
                  <c:v>914.64352510836022</c:v>
                </c:pt>
                <c:pt idx="773">
                  <c:v>915.20514940112491</c:v>
                </c:pt>
                <c:pt idx="774">
                  <c:v>915.76193197262853</c:v>
                </c:pt>
                <c:pt idx="775">
                  <c:v>916.3139084106682</c:v>
                </c:pt>
                <c:pt idx="776">
                  <c:v>916.8611141525339</c:v>
                </c:pt>
                <c:pt idx="777">
                  <c:v>917.40358448317841</c:v>
                </c:pt>
                <c:pt idx="778">
                  <c:v>917.94135453345837</c:v>
                </c:pt>
                <c:pt idx="779">
                  <c:v>918.47445927844547</c:v>
                </c:pt>
                <c:pt idx="780">
                  <c:v>919.00293353580514</c:v>
                </c:pt>
                <c:pt idx="781">
                  <c:v>919.52681196424294</c:v>
                </c:pt>
                <c:pt idx="782">
                  <c:v>920.04612906201623</c:v>
                </c:pt>
                <c:pt idx="783">
                  <c:v>920.56091916551031</c:v>
                </c:pt>
                <c:pt idx="784">
                  <c:v>921.0712164478773</c:v>
                </c:pt>
                <c:pt idx="785">
                  <c:v>921.57705491773697</c:v>
                </c:pt>
                <c:pt idx="786">
                  <c:v>922.07846841793764</c:v>
                </c:pt>
                <c:pt idx="787">
                  <c:v>922.57549062437647</c:v>
                </c:pt>
                <c:pt idx="788">
                  <c:v>923.06815504487781</c:v>
                </c:pt>
                <c:pt idx="789">
                  <c:v>923.55649501812775</c:v>
                </c:pt>
                <c:pt idx="790">
                  <c:v>924.04054371266432</c:v>
                </c:pt>
                <c:pt idx="791">
                  <c:v>924.52033412592209</c:v>
                </c:pt>
                <c:pt idx="792">
                  <c:v>924.99589908332962</c:v>
                </c:pt>
                <c:pt idx="793">
                  <c:v>925.4672712374587</c:v>
                </c:pt>
                <c:pt idx="794">
                  <c:v>925.93448306722496</c:v>
                </c:pt>
                <c:pt idx="795">
                  <c:v>926.39756687713714</c:v>
                </c:pt>
                <c:pt idx="796">
                  <c:v>926.85655479659556</c:v>
                </c:pt>
                <c:pt idx="797">
                  <c:v>927.31147877923775</c:v>
                </c:pt>
                <c:pt idx="798">
                  <c:v>927.76237060233063</c:v>
                </c:pt>
                <c:pt idx="799">
                  <c:v>928.20926186620727</c:v>
                </c:pt>
                <c:pt idx="800">
                  <c:v>928.20926186620727</c:v>
                </c:pt>
                <c:pt idx="801">
                  <c:v>928.20926186620727</c:v>
                </c:pt>
                <c:pt idx="802">
                  <c:v>928.20926186620727</c:v>
                </c:pt>
                <c:pt idx="803">
                  <c:v>928.20926186620727</c:v>
                </c:pt>
                <c:pt idx="804">
                  <c:v>928.20926186620727</c:v>
                </c:pt>
                <c:pt idx="805">
                  <c:v>928.20926186620727</c:v>
                </c:pt>
                <c:pt idx="806">
                  <c:v>928.20926186620727</c:v>
                </c:pt>
                <c:pt idx="807">
                  <c:v>928.20926186620727</c:v>
                </c:pt>
                <c:pt idx="808">
                  <c:v>928.20926186620727</c:v>
                </c:pt>
                <c:pt idx="809">
                  <c:v>928.20926186620727</c:v>
                </c:pt>
                <c:pt idx="810">
                  <c:v>928.20926186620727</c:v>
                </c:pt>
                <c:pt idx="811">
                  <c:v>928.20926186620727</c:v>
                </c:pt>
                <c:pt idx="812">
                  <c:v>928.20926186620727</c:v>
                </c:pt>
                <c:pt idx="813">
                  <c:v>928.20926186620727</c:v>
                </c:pt>
                <c:pt idx="814">
                  <c:v>928.20926186620727</c:v>
                </c:pt>
                <c:pt idx="815">
                  <c:v>928.20926186620727</c:v>
                </c:pt>
                <c:pt idx="816">
                  <c:v>928.20926186620727</c:v>
                </c:pt>
                <c:pt idx="817">
                  <c:v>928.20926186620727</c:v>
                </c:pt>
                <c:pt idx="818">
                  <c:v>928.20926186620727</c:v>
                </c:pt>
                <c:pt idx="819">
                  <c:v>928.20926186620727</c:v>
                </c:pt>
                <c:pt idx="820">
                  <c:v>928.20926186620727</c:v>
                </c:pt>
                <c:pt idx="821">
                  <c:v>928.20926186620727</c:v>
                </c:pt>
                <c:pt idx="822">
                  <c:v>928.20926186620727</c:v>
                </c:pt>
                <c:pt idx="823">
                  <c:v>928.20926186620727</c:v>
                </c:pt>
                <c:pt idx="824">
                  <c:v>928.20926186620727</c:v>
                </c:pt>
                <c:pt idx="825">
                  <c:v>928.20926186620727</c:v>
                </c:pt>
                <c:pt idx="826">
                  <c:v>928.20926186620727</c:v>
                </c:pt>
                <c:pt idx="827">
                  <c:v>928.20926186620727</c:v>
                </c:pt>
                <c:pt idx="828">
                  <c:v>928.20926186620727</c:v>
                </c:pt>
                <c:pt idx="829">
                  <c:v>928.20926186620727</c:v>
                </c:pt>
                <c:pt idx="830">
                  <c:v>928.20926186620727</c:v>
                </c:pt>
                <c:pt idx="831">
                  <c:v>928.20926186620727</c:v>
                </c:pt>
                <c:pt idx="832">
                  <c:v>928.20926186620727</c:v>
                </c:pt>
                <c:pt idx="833">
                  <c:v>928.20926186620727</c:v>
                </c:pt>
                <c:pt idx="834">
                  <c:v>928.20926186620727</c:v>
                </c:pt>
                <c:pt idx="835">
                  <c:v>928.20926186620727</c:v>
                </c:pt>
                <c:pt idx="836">
                  <c:v>928.20926186620727</c:v>
                </c:pt>
                <c:pt idx="837">
                  <c:v>928.20926186620727</c:v>
                </c:pt>
                <c:pt idx="838">
                  <c:v>928.20926186620727</c:v>
                </c:pt>
                <c:pt idx="839">
                  <c:v>928.20926186620727</c:v>
                </c:pt>
                <c:pt idx="840">
                  <c:v>928.20926186620727</c:v>
                </c:pt>
                <c:pt idx="841">
                  <c:v>928.20926186620727</c:v>
                </c:pt>
                <c:pt idx="842">
                  <c:v>928.20926186620727</c:v>
                </c:pt>
                <c:pt idx="843">
                  <c:v>928.20926186620727</c:v>
                </c:pt>
                <c:pt idx="844">
                  <c:v>928.20926186620727</c:v>
                </c:pt>
                <c:pt idx="845">
                  <c:v>928.20926186620727</c:v>
                </c:pt>
                <c:pt idx="846">
                  <c:v>928.20926186620727</c:v>
                </c:pt>
                <c:pt idx="847">
                  <c:v>928.20926186620727</c:v>
                </c:pt>
                <c:pt idx="848">
                  <c:v>928.20926186620727</c:v>
                </c:pt>
                <c:pt idx="849">
                  <c:v>928.20926186620727</c:v>
                </c:pt>
                <c:pt idx="850">
                  <c:v>928.20926186620727</c:v>
                </c:pt>
                <c:pt idx="851">
                  <c:v>928.20926186620727</c:v>
                </c:pt>
                <c:pt idx="852">
                  <c:v>928.20926186620727</c:v>
                </c:pt>
                <c:pt idx="853">
                  <c:v>928.20926186620727</c:v>
                </c:pt>
                <c:pt idx="854">
                  <c:v>928.20926186620727</c:v>
                </c:pt>
                <c:pt idx="855">
                  <c:v>928.20926186620727</c:v>
                </c:pt>
                <c:pt idx="856">
                  <c:v>928.20926186620727</c:v>
                </c:pt>
                <c:pt idx="857">
                  <c:v>928.20926186620727</c:v>
                </c:pt>
                <c:pt idx="858">
                  <c:v>928.20926186620727</c:v>
                </c:pt>
                <c:pt idx="859">
                  <c:v>928.20926186620727</c:v>
                </c:pt>
                <c:pt idx="860">
                  <c:v>928.20926186620727</c:v>
                </c:pt>
                <c:pt idx="861">
                  <c:v>928.20926186620727</c:v>
                </c:pt>
                <c:pt idx="862">
                  <c:v>928.20926186620727</c:v>
                </c:pt>
                <c:pt idx="863">
                  <c:v>928.20926186620727</c:v>
                </c:pt>
                <c:pt idx="864">
                  <c:v>928.20926186620727</c:v>
                </c:pt>
                <c:pt idx="865">
                  <c:v>928.20926186620727</c:v>
                </c:pt>
                <c:pt idx="866">
                  <c:v>928.20926186620727</c:v>
                </c:pt>
                <c:pt idx="867">
                  <c:v>928.20926186620727</c:v>
                </c:pt>
                <c:pt idx="868">
                  <c:v>928.20926186620727</c:v>
                </c:pt>
                <c:pt idx="869">
                  <c:v>928.20926186620727</c:v>
                </c:pt>
                <c:pt idx="870">
                  <c:v>928.20926186620727</c:v>
                </c:pt>
                <c:pt idx="871">
                  <c:v>928.20926186620727</c:v>
                </c:pt>
                <c:pt idx="872">
                  <c:v>928.20926186620727</c:v>
                </c:pt>
                <c:pt idx="873">
                  <c:v>928.20926186620727</c:v>
                </c:pt>
                <c:pt idx="874">
                  <c:v>928.20926186620727</c:v>
                </c:pt>
                <c:pt idx="875">
                  <c:v>928.20926186620727</c:v>
                </c:pt>
                <c:pt idx="876">
                  <c:v>928.20926186620727</c:v>
                </c:pt>
                <c:pt idx="877">
                  <c:v>928.20926186620727</c:v>
                </c:pt>
                <c:pt idx="878">
                  <c:v>928.20926186620727</c:v>
                </c:pt>
                <c:pt idx="879">
                  <c:v>928.20926186620727</c:v>
                </c:pt>
                <c:pt idx="880">
                  <c:v>928.20926186620727</c:v>
                </c:pt>
                <c:pt idx="881">
                  <c:v>928.20926186620727</c:v>
                </c:pt>
                <c:pt idx="882">
                  <c:v>928.20926186620727</c:v>
                </c:pt>
                <c:pt idx="883">
                  <c:v>928.20926186620727</c:v>
                </c:pt>
                <c:pt idx="884">
                  <c:v>928.20926186620727</c:v>
                </c:pt>
                <c:pt idx="885">
                  <c:v>928.20926186620727</c:v>
                </c:pt>
                <c:pt idx="886">
                  <c:v>928.20926186620727</c:v>
                </c:pt>
                <c:pt idx="887">
                  <c:v>928.20926186620727</c:v>
                </c:pt>
                <c:pt idx="888">
                  <c:v>928.20926186620727</c:v>
                </c:pt>
                <c:pt idx="889">
                  <c:v>928.20926186620727</c:v>
                </c:pt>
                <c:pt idx="890">
                  <c:v>928.20926186620727</c:v>
                </c:pt>
                <c:pt idx="891">
                  <c:v>928.20926186620727</c:v>
                </c:pt>
                <c:pt idx="892">
                  <c:v>928.20926186620727</c:v>
                </c:pt>
                <c:pt idx="893">
                  <c:v>928.20926186620727</c:v>
                </c:pt>
                <c:pt idx="894">
                  <c:v>928.20926186620727</c:v>
                </c:pt>
                <c:pt idx="895">
                  <c:v>928.20926186620727</c:v>
                </c:pt>
                <c:pt idx="896">
                  <c:v>928.20926186620727</c:v>
                </c:pt>
                <c:pt idx="897">
                  <c:v>928.20926186620727</c:v>
                </c:pt>
                <c:pt idx="898">
                  <c:v>928.20926186620727</c:v>
                </c:pt>
                <c:pt idx="899">
                  <c:v>928.20926186620727</c:v>
                </c:pt>
                <c:pt idx="900">
                  <c:v>928.20926186620727</c:v>
                </c:pt>
                <c:pt idx="901">
                  <c:v>928.20926186620727</c:v>
                </c:pt>
                <c:pt idx="902">
                  <c:v>928.20926186620727</c:v>
                </c:pt>
                <c:pt idx="903">
                  <c:v>928.20926186620727</c:v>
                </c:pt>
                <c:pt idx="904">
                  <c:v>928.20926186620727</c:v>
                </c:pt>
                <c:pt idx="905">
                  <c:v>928.20926186620727</c:v>
                </c:pt>
                <c:pt idx="906">
                  <c:v>928.20926186620727</c:v>
                </c:pt>
                <c:pt idx="907">
                  <c:v>928.20926186620727</c:v>
                </c:pt>
                <c:pt idx="908">
                  <c:v>928.20926186620727</c:v>
                </c:pt>
                <c:pt idx="909">
                  <c:v>928.20926186620727</c:v>
                </c:pt>
                <c:pt idx="910">
                  <c:v>928.20926186620727</c:v>
                </c:pt>
                <c:pt idx="911">
                  <c:v>928.20926186620727</c:v>
                </c:pt>
                <c:pt idx="912">
                  <c:v>928.20926186620727</c:v>
                </c:pt>
                <c:pt idx="913">
                  <c:v>928.20926186620727</c:v>
                </c:pt>
                <c:pt idx="914">
                  <c:v>928.20926186620727</c:v>
                </c:pt>
                <c:pt idx="915">
                  <c:v>928.20926186620727</c:v>
                </c:pt>
                <c:pt idx="916">
                  <c:v>928.20926186620727</c:v>
                </c:pt>
                <c:pt idx="917">
                  <c:v>928.20926186620727</c:v>
                </c:pt>
                <c:pt idx="918">
                  <c:v>928.20926186620727</c:v>
                </c:pt>
                <c:pt idx="919">
                  <c:v>928.20926186620727</c:v>
                </c:pt>
                <c:pt idx="920">
                  <c:v>928.20926186620727</c:v>
                </c:pt>
                <c:pt idx="921">
                  <c:v>928.20926186620727</c:v>
                </c:pt>
                <c:pt idx="922">
                  <c:v>928.20926186620727</c:v>
                </c:pt>
                <c:pt idx="923">
                  <c:v>928.20926186620727</c:v>
                </c:pt>
                <c:pt idx="924">
                  <c:v>928.20926186620727</c:v>
                </c:pt>
                <c:pt idx="925">
                  <c:v>928.20926186620727</c:v>
                </c:pt>
                <c:pt idx="926">
                  <c:v>928.20926186620727</c:v>
                </c:pt>
                <c:pt idx="927">
                  <c:v>928.20926186620727</c:v>
                </c:pt>
                <c:pt idx="928">
                  <c:v>928.20926186620727</c:v>
                </c:pt>
                <c:pt idx="929">
                  <c:v>928.20926186620727</c:v>
                </c:pt>
                <c:pt idx="930">
                  <c:v>928.20926186620727</c:v>
                </c:pt>
                <c:pt idx="931">
                  <c:v>928.20926186620727</c:v>
                </c:pt>
                <c:pt idx="932">
                  <c:v>928.20926186620727</c:v>
                </c:pt>
                <c:pt idx="933">
                  <c:v>928.20926186620727</c:v>
                </c:pt>
                <c:pt idx="934">
                  <c:v>928.20926186620727</c:v>
                </c:pt>
                <c:pt idx="935">
                  <c:v>928.20926186620727</c:v>
                </c:pt>
                <c:pt idx="936">
                  <c:v>928.20926186620727</c:v>
                </c:pt>
                <c:pt idx="937">
                  <c:v>928.20926186620727</c:v>
                </c:pt>
                <c:pt idx="938">
                  <c:v>928.20926186620727</c:v>
                </c:pt>
                <c:pt idx="939">
                  <c:v>928.20926186620727</c:v>
                </c:pt>
                <c:pt idx="940">
                  <c:v>928.20926186620727</c:v>
                </c:pt>
                <c:pt idx="941">
                  <c:v>928.20926186620727</c:v>
                </c:pt>
                <c:pt idx="942">
                  <c:v>928.20926186620727</c:v>
                </c:pt>
                <c:pt idx="943">
                  <c:v>928.20926186620727</c:v>
                </c:pt>
                <c:pt idx="944">
                  <c:v>928.20926186620727</c:v>
                </c:pt>
                <c:pt idx="945">
                  <c:v>928.20926186620727</c:v>
                </c:pt>
                <c:pt idx="946">
                  <c:v>928.20926186620727</c:v>
                </c:pt>
                <c:pt idx="947">
                  <c:v>928.20926186620727</c:v>
                </c:pt>
                <c:pt idx="948">
                  <c:v>928.20926186620727</c:v>
                </c:pt>
                <c:pt idx="949">
                  <c:v>928.20926186620727</c:v>
                </c:pt>
                <c:pt idx="950">
                  <c:v>928.20926186620727</c:v>
                </c:pt>
                <c:pt idx="951">
                  <c:v>928.20926186620727</c:v>
                </c:pt>
                <c:pt idx="952">
                  <c:v>928.20926186620727</c:v>
                </c:pt>
                <c:pt idx="953">
                  <c:v>928.20926186620727</c:v>
                </c:pt>
                <c:pt idx="954">
                  <c:v>928.20926186620727</c:v>
                </c:pt>
                <c:pt idx="955">
                  <c:v>928.20926186620727</c:v>
                </c:pt>
                <c:pt idx="956">
                  <c:v>928.20926186620727</c:v>
                </c:pt>
                <c:pt idx="957">
                  <c:v>928.20926186620727</c:v>
                </c:pt>
                <c:pt idx="958">
                  <c:v>928.20926186620727</c:v>
                </c:pt>
                <c:pt idx="959">
                  <c:v>928.20926186620727</c:v>
                </c:pt>
                <c:pt idx="960">
                  <c:v>928.20926186620727</c:v>
                </c:pt>
                <c:pt idx="961">
                  <c:v>928.20926186620727</c:v>
                </c:pt>
                <c:pt idx="962">
                  <c:v>928.20926186620727</c:v>
                </c:pt>
                <c:pt idx="963">
                  <c:v>928.20926186620727</c:v>
                </c:pt>
                <c:pt idx="964">
                  <c:v>928.20926186620727</c:v>
                </c:pt>
                <c:pt idx="965">
                  <c:v>928.20926186620727</c:v>
                </c:pt>
                <c:pt idx="966">
                  <c:v>928.20926186620727</c:v>
                </c:pt>
                <c:pt idx="967">
                  <c:v>928.20926186620727</c:v>
                </c:pt>
                <c:pt idx="968">
                  <c:v>928.20926186620727</c:v>
                </c:pt>
                <c:pt idx="969">
                  <c:v>928.20926186620727</c:v>
                </c:pt>
                <c:pt idx="970">
                  <c:v>928.20926186620727</c:v>
                </c:pt>
                <c:pt idx="971">
                  <c:v>928.20926186620727</c:v>
                </c:pt>
                <c:pt idx="972">
                  <c:v>928.20926186620727</c:v>
                </c:pt>
                <c:pt idx="973">
                  <c:v>928.20926186620727</c:v>
                </c:pt>
                <c:pt idx="974">
                  <c:v>928.20926186620727</c:v>
                </c:pt>
                <c:pt idx="975">
                  <c:v>928.20926186620727</c:v>
                </c:pt>
                <c:pt idx="976">
                  <c:v>928.20926186620727</c:v>
                </c:pt>
                <c:pt idx="977">
                  <c:v>928.20926186620727</c:v>
                </c:pt>
                <c:pt idx="978">
                  <c:v>928.20926186620727</c:v>
                </c:pt>
                <c:pt idx="979">
                  <c:v>928.20926186620727</c:v>
                </c:pt>
                <c:pt idx="980">
                  <c:v>928.20926186620727</c:v>
                </c:pt>
                <c:pt idx="981">
                  <c:v>928.20926186620727</c:v>
                </c:pt>
                <c:pt idx="982">
                  <c:v>928.20926186620727</c:v>
                </c:pt>
                <c:pt idx="983">
                  <c:v>928.20926186620727</c:v>
                </c:pt>
                <c:pt idx="984">
                  <c:v>928.20926186620727</c:v>
                </c:pt>
                <c:pt idx="985">
                  <c:v>928.20926186620727</c:v>
                </c:pt>
                <c:pt idx="986">
                  <c:v>928.20926186620727</c:v>
                </c:pt>
                <c:pt idx="987">
                  <c:v>928.20926186620727</c:v>
                </c:pt>
                <c:pt idx="988">
                  <c:v>928.20926186620727</c:v>
                </c:pt>
                <c:pt idx="989">
                  <c:v>928.20926186620727</c:v>
                </c:pt>
                <c:pt idx="990">
                  <c:v>928.20926186620727</c:v>
                </c:pt>
                <c:pt idx="991">
                  <c:v>928.20926186620727</c:v>
                </c:pt>
                <c:pt idx="992">
                  <c:v>928.20926186620727</c:v>
                </c:pt>
                <c:pt idx="993">
                  <c:v>928.20926186620727</c:v>
                </c:pt>
                <c:pt idx="994">
                  <c:v>928.20926186620727</c:v>
                </c:pt>
                <c:pt idx="995">
                  <c:v>928.20926186620727</c:v>
                </c:pt>
                <c:pt idx="996">
                  <c:v>928.20926186620727</c:v>
                </c:pt>
                <c:pt idx="997">
                  <c:v>928.20926186620727</c:v>
                </c:pt>
                <c:pt idx="998">
                  <c:v>928.20926186620727</c:v>
                </c:pt>
                <c:pt idx="999">
                  <c:v>928.20926186620727</c:v>
                </c:pt>
                <c:pt idx="1000">
                  <c:v>928.20926186620727</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35.900000000000198</c:v>
                </c:pt>
                <c:pt idx="720">
                  <c:v>36.000000000000199</c:v>
                </c:pt>
                <c:pt idx="721">
                  <c:v>36.1000000000002</c:v>
                </c:pt>
                <c:pt idx="722">
                  <c:v>36.200000000000202</c:v>
                </c:pt>
                <c:pt idx="723">
                  <c:v>36.300000000000203</c:v>
                </c:pt>
                <c:pt idx="724">
                  <c:v>36.400000000000205</c:v>
                </c:pt>
                <c:pt idx="725">
                  <c:v>36.500000000000206</c:v>
                </c:pt>
                <c:pt idx="726">
                  <c:v>36.600000000000207</c:v>
                </c:pt>
                <c:pt idx="727">
                  <c:v>36.700000000000209</c:v>
                </c:pt>
                <c:pt idx="728">
                  <c:v>36.80000000000021</c:v>
                </c:pt>
                <c:pt idx="729">
                  <c:v>36.900000000000212</c:v>
                </c:pt>
                <c:pt idx="730">
                  <c:v>37.000000000000213</c:v>
                </c:pt>
                <c:pt idx="731">
                  <c:v>37.100000000000215</c:v>
                </c:pt>
                <c:pt idx="732">
                  <c:v>37.200000000000216</c:v>
                </c:pt>
                <c:pt idx="733">
                  <c:v>37.300000000000217</c:v>
                </c:pt>
                <c:pt idx="734">
                  <c:v>37.400000000000219</c:v>
                </c:pt>
                <c:pt idx="735">
                  <c:v>37.50000000000022</c:v>
                </c:pt>
                <c:pt idx="736">
                  <c:v>37.600000000000222</c:v>
                </c:pt>
                <c:pt idx="737">
                  <c:v>37.700000000000223</c:v>
                </c:pt>
                <c:pt idx="738">
                  <c:v>37.800000000000225</c:v>
                </c:pt>
                <c:pt idx="739">
                  <c:v>37.900000000000226</c:v>
                </c:pt>
                <c:pt idx="740">
                  <c:v>38.000000000000227</c:v>
                </c:pt>
                <c:pt idx="741">
                  <c:v>38.100000000000229</c:v>
                </c:pt>
                <c:pt idx="742">
                  <c:v>38.20000000000023</c:v>
                </c:pt>
                <c:pt idx="743">
                  <c:v>38.300000000000232</c:v>
                </c:pt>
                <c:pt idx="744">
                  <c:v>38.400000000000233</c:v>
                </c:pt>
                <c:pt idx="745">
                  <c:v>38.500000000000234</c:v>
                </c:pt>
                <c:pt idx="746">
                  <c:v>38.600000000000236</c:v>
                </c:pt>
                <c:pt idx="747">
                  <c:v>38.700000000000237</c:v>
                </c:pt>
                <c:pt idx="748">
                  <c:v>38.800000000000239</c:v>
                </c:pt>
                <c:pt idx="749">
                  <c:v>38.90000000000024</c:v>
                </c:pt>
                <c:pt idx="750">
                  <c:v>39.000000000000242</c:v>
                </c:pt>
                <c:pt idx="751">
                  <c:v>39.100000000000243</c:v>
                </c:pt>
                <c:pt idx="752">
                  <c:v>39.200000000000244</c:v>
                </c:pt>
                <c:pt idx="753">
                  <c:v>39.300000000000246</c:v>
                </c:pt>
                <c:pt idx="754">
                  <c:v>39.400000000000247</c:v>
                </c:pt>
                <c:pt idx="755">
                  <c:v>39.500000000000249</c:v>
                </c:pt>
                <c:pt idx="756">
                  <c:v>39.60000000000025</c:v>
                </c:pt>
                <c:pt idx="757">
                  <c:v>39.700000000000252</c:v>
                </c:pt>
                <c:pt idx="758">
                  <c:v>39.800000000000253</c:v>
                </c:pt>
                <c:pt idx="759">
                  <c:v>39.900000000000254</c:v>
                </c:pt>
                <c:pt idx="760">
                  <c:v>40.000000000000256</c:v>
                </c:pt>
                <c:pt idx="761">
                  <c:v>40.100000000000257</c:v>
                </c:pt>
                <c:pt idx="762">
                  <c:v>40.200000000000259</c:v>
                </c:pt>
                <c:pt idx="763">
                  <c:v>40.30000000000026</c:v>
                </c:pt>
                <c:pt idx="764">
                  <c:v>40.400000000000261</c:v>
                </c:pt>
                <c:pt idx="765">
                  <c:v>40.500000000000263</c:v>
                </c:pt>
                <c:pt idx="766">
                  <c:v>40.600000000000264</c:v>
                </c:pt>
                <c:pt idx="767">
                  <c:v>40.700000000000266</c:v>
                </c:pt>
                <c:pt idx="768">
                  <c:v>40.800000000000267</c:v>
                </c:pt>
                <c:pt idx="769">
                  <c:v>40.900000000000269</c:v>
                </c:pt>
                <c:pt idx="770">
                  <c:v>41.00000000000027</c:v>
                </c:pt>
                <c:pt idx="771">
                  <c:v>41.100000000000271</c:v>
                </c:pt>
                <c:pt idx="772">
                  <c:v>41.200000000000273</c:v>
                </c:pt>
                <c:pt idx="773">
                  <c:v>41.300000000000274</c:v>
                </c:pt>
                <c:pt idx="774">
                  <c:v>41.400000000000276</c:v>
                </c:pt>
                <c:pt idx="775">
                  <c:v>41.500000000000277</c:v>
                </c:pt>
                <c:pt idx="776">
                  <c:v>41.600000000000279</c:v>
                </c:pt>
                <c:pt idx="777">
                  <c:v>41.70000000000028</c:v>
                </c:pt>
                <c:pt idx="778">
                  <c:v>41.800000000000281</c:v>
                </c:pt>
                <c:pt idx="779">
                  <c:v>41.900000000000283</c:v>
                </c:pt>
                <c:pt idx="780">
                  <c:v>42.000000000000284</c:v>
                </c:pt>
                <c:pt idx="781">
                  <c:v>42.100000000000286</c:v>
                </c:pt>
                <c:pt idx="782">
                  <c:v>42.200000000000287</c:v>
                </c:pt>
                <c:pt idx="783">
                  <c:v>42.300000000000288</c:v>
                </c:pt>
                <c:pt idx="784">
                  <c:v>42.40000000000029</c:v>
                </c:pt>
                <c:pt idx="785">
                  <c:v>42.500000000000291</c:v>
                </c:pt>
                <c:pt idx="786">
                  <c:v>42.600000000000293</c:v>
                </c:pt>
                <c:pt idx="787">
                  <c:v>42.700000000000294</c:v>
                </c:pt>
                <c:pt idx="788">
                  <c:v>42.800000000000296</c:v>
                </c:pt>
                <c:pt idx="789">
                  <c:v>42.900000000000297</c:v>
                </c:pt>
                <c:pt idx="790">
                  <c:v>43.000000000000298</c:v>
                </c:pt>
                <c:pt idx="791">
                  <c:v>43.1000000000003</c:v>
                </c:pt>
                <c:pt idx="792">
                  <c:v>43.200000000000301</c:v>
                </c:pt>
                <c:pt idx="793">
                  <c:v>43.300000000000303</c:v>
                </c:pt>
                <c:pt idx="794">
                  <c:v>43.400000000000304</c:v>
                </c:pt>
                <c:pt idx="795">
                  <c:v>43.500000000000306</c:v>
                </c:pt>
                <c:pt idx="796">
                  <c:v>43.600000000000307</c:v>
                </c:pt>
                <c:pt idx="797">
                  <c:v>43.700000000000308</c:v>
                </c:pt>
                <c:pt idx="798">
                  <c:v>43.80000000000031</c:v>
                </c:pt>
                <c:pt idx="799">
                  <c:v>43.900000000000311</c:v>
                </c:pt>
                <c:pt idx="800">
                  <c:v>43.900100000000315</c:v>
                </c:pt>
                <c:pt idx="801">
                  <c:v>43.900200000000318</c:v>
                </c:pt>
                <c:pt idx="802">
                  <c:v>43.900300000000321</c:v>
                </c:pt>
                <c:pt idx="803">
                  <c:v>43.900400000000324</c:v>
                </c:pt>
                <c:pt idx="804">
                  <c:v>43.900500000000328</c:v>
                </c:pt>
                <c:pt idx="805">
                  <c:v>43.900600000000331</c:v>
                </c:pt>
                <c:pt idx="806">
                  <c:v>43.900700000000334</c:v>
                </c:pt>
                <c:pt idx="807">
                  <c:v>43.900800000000338</c:v>
                </c:pt>
                <c:pt idx="808">
                  <c:v>43.900900000000341</c:v>
                </c:pt>
                <c:pt idx="809">
                  <c:v>43.901000000000344</c:v>
                </c:pt>
                <c:pt idx="810">
                  <c:v>43.901100000000348</c:v>
                </c:pt>
                <c:pt idx="811">
                  <c:v>43.901200000000351</c:v>
                </c:pt>
                <c:pt idx="812">
                  <c:v>43.901300000000354</c:v>
                </c:pt>
                <c:pt idx="813">
                  <c:v>43.901400000000358</c:v>
                </c:pt>
                <c:pt idx="814">
                  <c:v>43.901500000000361</c:v>
                </c:pt>
                <c:pt idx="815">
                  <c:v>43.901600000000364</c:v>
                </c:pt>
                <c:pt idx="816">
                  <c:v>43.901700000000368</c:v>
                </c:pt>
                <c:pt idx="817">
                  <c:v>43.901800000000371</c:v>
                </c:pt>
                <c:pt idx="818">
                  <c:v>43.901900000000374</c:v>
                </c:pt>
                <c:pt idx="819">
                  <c:v>43.902000000000378</c:v>
                </c:pt>
                <c:pt idx="820">
                  <c:v>43.902100000000381</c:v>
                </c:pt>
                <c:pt idx="821">
                  <c:v>43.902200000000384</c:v>
                </c:pt>
                <c:pt idx="822">
                  <c:v>43.902300000000388</c:v>
                </c:pt>
                <c:pt idx="823">
                  <c:v>43.902400000000391</c:v>
                </c:pt>
                <c:pt idx="824">
                  <c:v>43.902500000000394</c:v>
                </c:pt>
                <c:pt idx="825">
                  <c:v>43.902600000000398</c:v>
                </c:pt>
                <c:pt idx="826">
                  <c:v>43.902700000000401</c:v>
                </c:pt>
                <c:pt idx="827">
                  <c:v>43.902800000000404</c:v>
                </c:pt>
                <c:pt idx="828">
                  <c:v>43.902900000000407</c:v>
                </c:pt>
                <c:pt idx="829">
                  <c:v>43.903000000000411</c:v>
                </c:pt>
                <c:pt idx="830">
                  <c:v>43.903100000000414</c:v>
                </c:pt>
                <c:pt idx="831">
                  <c:v>43.903200000000417</c:v>
                </c:pt>
                <c:pt idx="832">
                  <c:v>43.903300000000421</c:v>
                </c:pt>
                <c:pt idx="833">
                  <c:v>43.903400000000424</c:v>
                </c:pt>
                <c:pt idx="834">
                  <c:v>43.903500000000427</c:v>
                </c:pt>
                <c:pt idx="835">
                  <c:v>43.903600000000431</c:v>
                </c:pt>
                <c:pt idx="836">
                  <c:v>43.903700000000434</c:v>
                </c:pt>
                <c:pt idx="837">
                  <c:v>43.903800000000437</c:v>
                </c:pt>
                <c:pt idx="838">
                  <c:v>43.903900000000441</c:v>
                </c:pt>
                <c:pt idx="839">
                  <c:v>43.904000000000444</c:v>
                </c:pt>
                <c:pt idx="840">
                  <c:v>43.904100000000447</c:v>
                </c:pt>
                <c:pt idx="841">
                  <c:v>43.904200000000451</c:v>
                </c:pt>
                <c:pt idx="842">
                  <c:v>43.904300000000454</c:v>
                </c:pt>
                <c:pt idx="843">
                  <c:v>43.904400000000457</c:v>
                </c:pt>
                <c:pt idx="844">
                  <c:v>43.904500000000461</c:v>
                </c:pt>
                <c:pt idx="845">
                  <c:v>43.904600000000464</c:v>
                </c:pt>
                <c:pt idx="846">
                  <c:v>43.904700000000467</c:v>
                </c:pt>
                <c:pt idx="847">
                  <c:v>43.904800000000471</c:v>
                </c:pt>
                <c:pt idx="848">
                  <c:v>43.904900000000474</c:v>
                </c:pt>
                <c:pt idx="849">
                  <c:v>43.905000000000477</c:v>
                </c:pt>
                <c:pt idx="850">
                  <c:v>43.905100000000481</c:v>
                </c:pt>
                <c:pt idx="851">
                  <c:v>43.905200000000484</c:v>
                </c:pt>
                <c:pt idx="852">
                  <c:v>43.905300000000487</c:v>
                </c:pt>
                <c:pt idx="853">
                  <c:v>43.90540000000049</c:v>
                </c:pt>
                <c:pt idx="854">
                  <c:v>43.905500000000494</c:v>
                </c:pt>
                <c:pt idx="855">
                  <c:v>43.905600000000497</c:v>
                </c:pt>
                <c:pt idx="856">
                  <c:v>43.9057000000005</c:v>
                </c:pt>
                <c:pt idx="857">
                  <c:v>43.905800000000504</c:v>
                </c:pt>
                <c:pt idx="858">
                  <c:v>43.905900000000507</c:v>
                </c:pt>
                <c:pt idx="859">
                  <c:v>43.90600000000051</c:v>
                </c:pt>
                <c:pt idx="860">
                  <c:v>43.906100000000514</c:v>
                </c:pt>
                <c:pt idx="861">
                  <c:v>43.906200000000517</c:v>
                </c:pt>
                <c:pt idx="862">
                  <c:v>43.90630000000052</c:v>
                </c:pt>
                <c:pt idx="863">
                  <c:v>43.906400000000524</c:v>
                </c:pt>
                <c:pt idx="864">
                  <c:v>43.906500000000527</c:v>
                </c:pt>
                <c:pt idx="865">
                  <c:v>43.90660000000053</c:v>
                </c:pt>
                <c:pt idx="866">
                  <c:v>43.906700000000534</c:v>
                </c:pt>
                <c:pt idx="867">
                  <c:v>43.906800000000537</c:v>
                </c:pt>
                <c:pt idx="868">
                  <c:v>43.90690000000054</c:v>
                </c:pt>
                <c:pt idx="869">
                  <c:v>43.907000000000544</c:v>
                </c:pt>
                <c:pt idx="870">
                  <c:v>43.907100000000547</c:v>
                </c:pt>
                <c:pt idx="871">
                  <c:v>43.90720000000055</c:v>
                </c:pt>
                <c:pt idx="872">
                  <c:v>43.907300000000554</c:v>
                </c:pt>
                <c:pt idx="873">
                  <c:v>43.907400000000557</c:v>
                </c:pt>
                <c:pt idx="874">
                  <c:v>43.90750000000056</c:v>
                </c:pt>
                <c:pt idx="875">
                  <c:v>43.907600000000564</c:v>
                </c:pt>
                <c:pt idx="876">
                  <c:v>43.907700000000567</c:v>
                </c:pt>
                <c:pt idx="877">
                  <c:v>43.90780000000057</c:v>
                </c:pt>
                <c:pt idx="878">
                  <c:v>43.907900000000573</c:v>
                </c:pt>
                <c:pt idx="879">
                  <c:v>43.908000000000577</c:v>
                </c:pt>
                <c:pt idx="880">
                  <c:v>43.90810000000058</c:v>
                </c:pt>
                <c:pt idx="881">
                  <c:v>43.908200000000583</c:v>
                </c:pt>
                <c:pt idx="882">
                  <c:v>43.908300000000587</c:v>
                </c:pt>
                <c:pt idx="883">
                  <c:v>43.90840000000059</c:v>
                </c:pt>
                <c:pt idx="884">
                  <c:v>43.908500000000593</c:v>
                </c:pt>
                <c:pt idx="885">
                  <c:v>43.908600000000597</c:v>
                </c:pt>
                <c:pt idx="886">
                  <c:v>43.9087000000006</c:v>
                </c:pt>
                <c:pt idx="887">
                  <c:v>43.908800000000603</c:v>
                </c:pt>
                <c:pt idx="888">
                  <c:v>43.908900000000607</c:v>
                </c:pt>
                <c:pt idx="889">
                  <c:v>43.90900000000061</c:v>
                </c:pt>
                <c:pt idx="890">
                  <c:v>43.909100000000613</c:v>
                </c:pt>
                <c:pt idx="891">
                  <c:v>43.909200000000617</c:v>
                </c:pt>
                <c:pt idx="892">
                  <c:v>43.90930000000062</c:v>
                </c:pt>
                <c:pt idx="893">
                  <c:v>43.909400000000623</c:v>
                </c:pt>
                <c:pt idx="894">
                  <c:v>43.909500000000627</c:v>
                </c:pt>
                <c:pt idx="895">
                  <c:v>43.90960000000063</c:v>
                </c:pt>
                <c:pt idx="896">
                  <c:v>43.909700000000633</c:v>
                </c:pt>
                <c:pt idx="897">
                  <c:v>43.909800000000637</c:v>
                </c:pt>
                <c:pt idx="898">
                  <c:v>43.90990000000064</c:v>
                </c:pt>
                <c:pt idx="899">
                  <c:v>43.910000000000643</c:v>
                </c:pt>
                <c:pt idx="900">
                  <c:v>43.910100000000647</c:v>
                </c:pt>
                <c:pt idx="901">
                  <c:v>43.91020000000065</c:v>
                </c:pt>
                <c:pt idx="902">
                  <c:v>43.910300000000653</c:v>
                </c:pt>
                <c:pt idx="903">
                  <c:v>43.910400000000656</c:v>
                </c:pt>
                <c:pt idx="904">
                  <c:v>43.91050000000066</c:v>
                </c:pt>
                <c:pt idx="905">
                  <c:v>43.910600000000663</c:v>
                </c:pt>
                <c:pt idx="906">
                  <c:v>43.910700000000666</c:v>
                </c:pt>
                <c:pt idx="907">
                  <c:v>43.91080000000067</c:v>
                </c:pt>
                <c:pt idx="908">
                  <c:v>43.910900000000673</c:v>
                </c:pt>
                <c:pt idx="909">
                  <c:v>43.911000000000676</c:v>
                </c:pt>
                <c:pt idx="910">
                  <c:v>43.91110000000068</c:v>
                </c:pt>
                <c:pt idx="911">
                  <c:v>43.911200000000683</c:v>
                </c:pt>
                <c:pt idx="912">
                  <c:v>43.911300000000686</c:v>
                </c:pt>
                <c:pt idx="913">
                  <c:v>43.91140000000069</c:v>
                </c:pt>
                <c:pt idx="914">
                  <c:v>43.911500000000693</c:v>
                </c:pt>
                <c:pt idx="915">
                  <c:v>43.911600000000696</c:v>
                </c:pt>
                <c:pt idx="916">
                  <c:v>43.9117000000007</c:v>
                </c:pt>
                <c:pt idx="917">
                  <c:v>43.911800000000703</c:v>
                </c:pt>
                <c:pt idx="918">
                  <c:v>43.911900000000706</c:v>
                </c:pt>
                <c:pt idx="919">
                  <c:v>43.91200000000071</c:v>
                </c:pt>
                <c:pt idx="920">
                  <c:v>43.912100000000713</c:v>
                </c:pt>
                <c:pt idx="921">
                  <c:v>43.912200000000716</c:v>
                </c:pt>
                <c:pt idx="922">
                  <c:v>43.91230000000072</c:v>
                </c:pt>
                <c:pt idx="923">
                  <c:v>43.912400000000723</c:v>
                </c:pt>
                <c:pt idx="924">
                  <c:v>43.912500000000726</c:v>
                </c:pt>
                <c:pt idx="925">
                  <c:v>43.912600000000729</c:v>
                </c:pt>
                <c:pt idx="926">
                  <c:v>43.912700000000733</c:v>
                </c:pt>
                <c:pt idx="927">
                  <c:v>43.912800000000736</c:v>
                </c:pt>
                <c:pt idx="928">
                  <c:v>43.912900000000739</c:v>
                </c:pt>
                <c:pt idx="929">
                  <c:v>43.913000000000743</c:v>
                </c:pt>
                <c:pt idx="930">
                  <c:v>43.913100000000746</c:v>
                </c:pt>
                <c:pt idx="931">
                  <c:v>43.913200000000749</c:v>
                </c:pt>
                <c:pt idx="932">
                  <c:v>43.913300000000753</c:v>
                </c:pt>
                <c:pt idx="933">
                  <c:v>43.913400000000756</c:v>
                </c:pt>
                <c:pt idx="934">
                  <c:v>43.913500000000759</c:v>
                </c:pt>
                <c:pt idx="935">
                  <c:v>43.913600000000763</c:v>
                </c:pt>
                <c:pt idx="936">
                  <c:v>43.913700000000766</c:v>
                </c:pt>
                <c:pt idx="937">
                  <c:v>43.913800000000769</c:v>
                </c:pt>
                <c:pt idx="938">
                  <c:v>43.913900000000773</c:v>
                </c:pt>
                <c:pt idx="939">
                  <c:v>43.914000000000776</c:v>
                </c:pt>
                <c:pt idx="940">
                  <c:v>43.914100000000779</c:v>
                </c:pt>
                <c:pt idx="941">
                  <c:v>43.914200000000783</c:v>
                </c:pt>
                <c:pt idx="942">
                  <c:v>43.914300000000786</c:v>
                </c:pt>
                <c:pt idx="943">
                  <c:v>43.914400000000789</c:v>
                </c:pt>
                <c:pt idx="944">
                  <c:v>43.914500000000793</c:v>
                </c:pt>
                <c:pt idx="945">
                  <c:v>43.914600000000796</c:v>
                </c:pt>
                <c:pt idx="946">
                  <c:v>43.914700000000799</c:v>
                </c:pt>
                <c:pt idx="947">
                  <c:v>43.914800000000803</c:v>
                </c:pt>
                <c:pt idx="948">
                  <c:v>43.914900000000806</c:v>
                </c:pt>
                <c:pt idx="949">
                  <c:v>43.915000000000809</c:v>
                </c:pt>
                <c:pt idx="950">
                  <c:v>43.915100000000812</c:v>
                </c:pt>
                <c:pt idx="951">
                  <c:v>43.915200000000816</c:v>
                </c:pt>
                <c:pt idx="952">
                  <c:v>43.915300000000819</c:v>
                </c:pt>
                <c:pt idx="953">
                  <c:v>43.915400000000822</c:v>
                </c:pt>
                <c:pt idx="954">
                  <c:v>43.915500000000826</c:v>
                </c:pt>
                <c:pt idx="955">
                  <c:v>43.915600000000829</c:v>
                </c:pt>
                <c:pt idx="956">
                  <c:v>43.915700000000832</c:v>
                </c:pt>
                <c:pt idx="957">
                  <c:v>43.915800000000836</c:v>
                </c:pt>
                <c:pt idx="958">
                  <c:v>43.915900000000839</c:v>
                </c:pt>
                <c:pt idx="959">
                  <c:v>43.916000000000842</c:v>
                </c:pt>
                <c:pt idx="960">
                  <c:v>43.916100000000846</c:v>
                </c:pt>
                <c:pt idx="961">
                  <c:v>43.916200000000849</c:v>
                </c:pt>
                <c:pt idx="962">
                  <c:v>43.916300000000852</c:v>
                </c:pt>
                <c:pt idx="963">
                  <c:v>43.916400000000856</c:v>
                </c:pt>
                <c:pt idx="964">
                  <c:v>43.916500000000859</c:v>
                </c:pt>
                <c:pt idx="965">
                  <c:v>43.916600000000862</c:v>
                </c:pt>
                <c:pt idx="966">
                  <c:v>43.916700000000866</c:v>
                </c:pt>
                <c:pt idx="967">
                  <c:v>43.916800000000869</c:v>
                </c:pt>
                <c:pt idx="968">
                  <c:v>43.916900000000872</c:v>
                </c:pt>
                <c:pt idx="969">
                  <c:v>43.917000000000876</c:v>
                </c:pt>
                <c:pt idx="970">
                  <c:v>43.917100000000879</c:v>
                </c:pt>
                <c:pt idx="971">
                  <c:v>43.917200000000882</c:v>
                </c:pt>
                <c:pt idx="972">
                  <c:v>43.917300000000886</c:v>
                </c:pt>
                <c:pt idx="973">
                  <c:v>43.917400000000889</c:v>
                </c:pt>
                <c:pt idx="974">
                  <c:v>43.917500000000892</c:v>
                </c:pt>
                <c:pt idx="975">
                  <c:v>43.917600000000895</c:v>
                </c:pt>
                <c:pt idx="976">
                  <c:v>43.917700000000899</c:v>
                </c:pt>
                <c:pt idx="977">
                  <c:v>43.917800000000902</c:v>
                </c:pt>
                <c:pt idx="978">
                  <c:v>43.917900000000905</c:v>
                </c:pt>
                <c:pt idx="979">
                  <c:v>43.918000000000909</c:v>
                </c:pt>
                <c:pt idx="980">
                  <c:v>43.918100000000912</c:v>
                </c:pt>
                <c:pt idx="981">
                  <c:v>43.918200000000915</c:v>
                </c:pt>
                <c:pt idx="982">
                  <c:v>43.918300000000919</c:v>
                </c:pt>
                <c:pt idx="983">
                  <c:v>43.918400000000922</c:v>
                </c:pt>
                <c:pt idx="984">
                  <c:v>43.918500000000925</c:v>
                </c:pt>
                <c:pt idx="985">
                  <c:v>43.918600000000929</c:v>
                </c:pt>
                <c:pt idx="986">
                  <c:v>43.918700000000932</c:v>
                </c:pt>
                <c:pt idx="987">
                  <c:v>43.918800000000935</c:v>
                </c:pt>
                <c:pt idx="988">
                  <c:v>43.918900000000939</c:v>
                </c:pt>
                <c:pt idx="989">
                  <c:v>43.919000000000942</c:v>
                </c:pt>
                <c:pt idx="990">
                  <c:v>43.919100000000945</c:v>
                </c:pt>
                <c:pt idx="991">
                  <c:v>43.919200000000949</c:v>
                </c:pt>
                <c:pt idx="992">
                  <c:v>43.919300000000952</c:v>
                </c:pt>
                <c:pt idx="993">
                  <c:v>43.919400000000955</c:v>
                </c:pt>
                <c:pt idx="994">
                  <c:v>43.919500000000959</c:v>
                </c:pt>
                <c:pt idx="995">
                  <c:v>43.919600000000962</c:v>
                </c:pt>
                <c:pt idx="996">
                  <c:v>43.919700000000965</c:v>
                </c:pt>
                <c:pt idx="997">
                  <c:v>43.919800000000969</c:v>
                </c:pt>
                <c:pt idx="998">
                  <c:v>43.919900000000972</c:v>
                </c:pt>
                <c:pt idx="999">
                  <c:v>43.920000000000975</c:v>
                </c:pt>
                <c:pt idx="1000">
                  <c:v>43.920100000000978</c:v>
                </c:pt>
              </c:numCache>
            </c:numRef>
          </c:xVal>
          <c:yVal>
            <c:numRef>
              <c:f>Calculs!$K$4:$K$1004</c:f>
              <c:numCache>
                <c:formatCode>0.00</c:formatCode>
                <c:ptCount val="1001"/>
                <c:pt idx="0">
                  <c:v>0</c:v>
                </c:pt>
                <c:pt idx="1">
                  <c:v>0.98473700747290427</c:v>
                </c:pt>
                <c:pt idx="2">
                  <c:v>1.9707925741889669</c:v>
                </c:pt>
                <c:pt idx="3">
                  <c:v>2.9610860184747216</c:v>
                </c:pt>
                <c:pt idx="4">
                  <c:v>3.9585357304745465</c:v>
                </c:pt>
                <c:pt idx="5">
                  <c:v>4.9660456277968521</c:v>
                </c:pt>
                <c:pt idx="6">
                  <c:v>5.9857801416581502</c:v>
                </c:pt>
                <c:pt idx="7">
                  <c:v>7.0184377263080782</c:v>
                </c:pt>
                <c:pt idx="8">
                  <c:v>8.0639758970996578</c:v>
                </c:pt>
                <c:pt idx="9">
                  <c:v>9.1223519271825548</c:v>
                </c:pt>
                <c:pt idx="10">
                  <c:v>10.193522849710263</c:v>
                </c:pt>
                <c:pt idx="11">
                  <c:v>11.277445460068151</c:v>
                </c:pt>
                <c:pt idx="12">
                  <c:v>12.374076318121705</c:v>
                </c:pt>
                <c:pt idx="13">
                  <c:v>13.483371750484361</c:v>
                </c:pt>
                <c:pt idx="14">
                  <c:v>14.605287852804278</c:v>
                </c:pt>
                <c:pt idx="15">
                  <c:v>15.739780492069482</c:v>
                </c:pt>
                <c:pt idx="16">
                  <c:v>16.886805308930761</c:v>
                </c:pt>
                <c:pt idx="17">
                  <c:v>18.046317720041731</c:v>
                </c:pt>
                <c:pt idx="18">
                  <c:v>19.218272920415501</c:v>
                </c:pt>
                <c:pt idx="19">
                  <c:v>20.402625885797381</c:v>
                </c:pt>
                <c:pt idx="20">
                  <c:v>21.599331375053055</c:v>
                </c:pt>
                <c:pt idx="21">
                  <c:v>22.808343932571688</c:v>
                </c:pt>
                <c:pt idx="22">
                  <c:v>24.029617890683419</c:v>
                </c:pt>
                <c:pt idx="23">
                  <c:v>25.263107372090694</c:v>
                </c:pt>
                <c:pt idx="24">
                  <c:v>26.508766292312938</c:v>
                </c:pt>
                <c:pt idx="25">
                  <c:v>27.766548362144015</c:v>
                </c:pt>
                <c:pt idx="26">
                  <c:v>29.036407090121966</c:v>
                </c:pt>
                <c:pt idx="27">
                  <c:v>30.318295785010548</c:v>
                </c:pt>
                <c:pt idx="28">
                  <c:v>31.612167558292008</c:v>
                </c:pt>
                <c:pt idx="29">
                  <c:v>32.917975326670643</c:v>
                </c:pt>
                <c:pt idx="30">
                  <c:v>34.235671814586652</c:v>
                </c:pt>
                <c:pt idx="31">
                  <c:v>35.565209556739731</c:v>
                </c:pt>
                <c:pt idx="32">
                  <c:v>36.906540900621998</c:v>
                </c:pt>
                <c:pt idx="33">
                  <c:v>38.259618009059736</c:v>
                </c:pt>
                <c:pt idx="34">
                  <c:v>39.624392862763472</c:v>
                </c:pt>
                <c:pt idx="35">
                  <c:v>41.000817262885903</c:v>
                </c:pt>
                <c:pt idx="36">
                  <c:v>42.388842833587283</c:v>
                </c:pt>
                <c:pt idx="37">
                  <c:v>43.788421024607679</c:v>
                </c:pt>
                <c:pt idx="38">
                  <c:v>45.199503113845751</c:v>
                </c:pt>
                <c:pt idx="39">
                  <c:v>46.622040209943556</c:v>
                </c:pt>
                <c:pt idx="40">
                  <c:v>48.055983254876885</c:v>
                </c:pt>
                <c:pt idx="41">
                  <c:v>49.501283026550759</c:v>
                </c:pt>
                <c:pt idx="42">
                  <c:v>50.957890141399595</c:v>
                </c:pt>
                <c:pt idx="43">
                  <c:v>52.425755056991591</c:v>
                </c:pt>
                <c:pt idx="44">
                  <c:v>53.904828074636939</c:v>
                </c:pt>
                <c:pt idx="45">
                  <c:v>55.395059341999392</c:v>
                </c:pt>
                <c:pt idx="46">
                  <c:v>56.896398855710757</c:v>
                </c:pt>
                <c:pt idx="47">
                  <c:v>58.408796463987933</c:v>
                </c:pt>
                <c:pt idx="48">
                  <c:v>59.932201869252012</c:v>
                </c:pt>
                <c:pt idx="49">
                  <c:v>61.466564630749055</c:v>
                </c:pt>
                <c:pt idx="50">
                  <c:v>63.011834167172154</c:v>
                </c:pt>
                <c:pt idx="51">
                  <c:v>64.567963696245272</c:v>
                </c:pt>
                <c:pt idx="52">
                  <c:v>66.13491417602863</c:v>
                </c:pt>
                <c:pt idx="53">
                  <c:v>67.712650368503375</c:v>
                </c:pt>
                <c:pt idx="54">
                  <c:v>69.301136901011404</c:v>
                </c:pt>
                <c:pt idx="55">
                  <c:v>70.900338268033593</c:v>
                </c:pt>
                <c:pt idx="56">
                  <c:v>72.510218832972328</c:v>
                </c:pt>
                <c:pt idx="57">
                  <c:v>74.130742829938129</c:v>
                </c:pt>
                <c:pt idx="58">
                  <c:v>75.761874365540137</c:v>
                </c:pt>
                <c:pt idx="59">
                  <c:v>77.403577420680165</c:v>
                </c:pt>
                <c:pt idx="60">
                  <c:v>79.055815852350065</c:v>
                </c:pt>
                <c:pt idx="61">
                  <c:v>80.718553395432181</c:v>
                </c:pt>
                <c:pt idx="62">
                  <c:v>82.391753664502673</c:v>
                </c:pt>
                <c:pt idx="63">
                  <c:v>84.075380155637333</c:v>
                </c:pt>
                <c:pt idx="64">
                  <c:v>85.769396248219863</c:v>
                </c:pt>
                <c:pt idx="65">
                  <c:v>87.473765206752091</c:v>
                </c:pt>
                <c:pt idx="66">
                  <c:v>89.188450182666188</c:v>
                </c:pt>
                <c:pt idx="67">
                  <c:v>90.913414216138392</c:v>
                </c:pt>
                <c:pt idx="68">
                  <c:v>92.64862023790414</c:v>
                </c:pt>
                <c:pt idx="69">
                  <c:v>94.394031071074309</c:v>
                </c:pt>
                <c:pt idx="70">
                  <c:v>96.14960943295236</c:v>
                </c:pt>
                <c:pt idx="71">
                  <c:v>97.915317936852134</c:v>
                </c:pt>
                <c:pt idx="72">
                  <c:v>99.691119093916086</c:v>
                </c:pt>
                <c:pt idx="73">
                  <c:v>101.47697531493367</c:v>
                </c:pt>
                <c:pt idx="74">
                  <c:v>103.27284891215973</c:v>
                </c:pt>
                <c:pt idx="75">
                  <c:v>105.07870210113261</c:v>
                </c:pt>
                <c:pt idx="76">
                  <c:v>106.8944970024917</c:v>
                </c:pt>
                <c:pt idx="77">
                  <c:v>108.72019564379444</c:v>
                </c:pt>
                <c:pt idx="78">
                  <c:v>110.55575996133214</c:v>
                </c:pt>
                <c:pt idx="79">
                  <c:v>112.40115180194485</c:v>
                </c:pt>
                <c:pt idx="80">
                  <c:v>114.25633292483468</c:v>
                </c:pt>
                <c:pt idx="81">
                  <c:v>116.12126500337764</c:v>
                </c:pt>
                <c:pt idx="82">
                  <c:v>117.99590962693364</c:v>
                </c:pt>
                <c:pt idx="83">
                  <c:v>119.88022830265433</c:v>
                </c:pt>
                <c:pt idx="84">
                  <c:v>121.77418245728894</c:v>
                </c:pt>
                <c:pt idx="85">
                  <c:v>123.67773343898742</c:v>
                </c:pt>
                <c:pt idx="86">
                  <c:v>125.59084251910106</c:v>
                </c:pt>
                <c:pt idx="87">
                  <c:v>127.51347089398026</c:v>
                </c:pt>
                <c:pt idx="88">
                  <c:v>129.44557968676909</c:v>
                </c:pt>
                <c:pt idx="89">
                  <c:v>131.38712994919675</c:v>
                </c:pt>
                <c:pt idx="90">
                  <c:v>133.33808266336544</c:v>
                </c:pt>
                <c:pt idx="91">
                  <c:v>135.29839874353465</c:v>
                </c:pt>
                <c:pt idx="92">
                  <c:v>137.26803903790145</c:v>
                </c:pt>
                <c:pt idx="93">
                  <c:v>139.24696433037687</c:v>
                </c:pt>
                <c:pt idx="94">
                  <c:v>141.23513534235798</c:v>
                </c:pt>
                <c:pt idx="95">
                  <c:v>143.23251273449554</c:v>
                </c:pt>
                <c:pt idx="96">
                  <c:v>145.23905710845696</c:v>
                </c:pt>
                <c:pt idx="97">
                  <c:v>147.25472900868456</c:v>
                </c:pt>
                <c:pt idx="98">
                  <c:v>149.27948892414881</c:v>
                </c:pt>
                <c:pt idx="99">
                  <c:v>151.3132972900963</c:v>
                </c:pt>
                <c:pt idx="100">
                  <c:v>153.35611448979256</c:v>
                </c:pt>
                <c:pt idx="101">
                  <c:v>155.40789902147051</c:v>
                </c:pt>
                <c:pt idx="102">
                  <c:v>157.46860566617082</c:v>
                </c:pt>
                <c:pt idx="103">
                  <c:v>159.53818732851278</c:v>
                </c:pt>
                <c:pt idx="104">
                  <c:v>161.61659687672525</c:v>
                </c:pt>
                <c:pt idx="105">
                  <c:v>163.70378714468549</c:v>
                </c:pt>
                <c:pt idx="106">
                  <c:v>165.79971093394778</c:v>
                </c:pt>
                <c:pt idx="107">
                  <c:v>167.90432101576221</c:v>
                </c:pt>
                <c:pt idx="108">
                  <c:v>170.01757013308296</c:v>
                </c:pt>
                <c:pt idx="109">
                  <c:v>172.13941100256613</c:v>
                </c:pt>
                <c:pt idx="110">
                  <c:v>174.26979631655689</c:v>
                </c:pt>
                <c:pt idx="111">
                  <c:v>176.4086787450658</c:v>
                </c:pt>
                <c:pt idx="112">
                  <c:v>178.55601093773407</c:v>
                </c:pt>
                <c:pt idx="113">
                  <c:v>180.71174552578765</c:v>
                </c:pt>
                <c:pt idx="114">
                  <c:v>182.87583512397993</c:v>
                </c:pt>
                <c:pt idx="115">
                  <c:v>185.04823233252293</c:v>
                </c:pt>
                <c:pt idx="116">
                  <c:v>187.22888973900692</c:v>
                </c:pt>
                <c:pt idx="117">
                  <c:v>189.41775992030801</c:v>
                </c:pt>
                <c:pt idx="118">
                  <c:v>191.61479544448395</c:v>
                </c:pt>
                <c:pt idx="119">
                  <c:v>193.81994887265762</c:v>
                </c:pt>
                <c:pt idx="120">
                  <c:v>196.03317276088848</c:v>
                </c:pt>
                <c:pt idx="121">
                  <c:v>198.25441966203144</c:v>
                </c:pt>
                <c:pt idx="122">
                  <c:v>200.48364212758315</c:v>
                </c:pt>
                <c:pt idx="123">
                  <c:v>202.72079270951585</c:v>
                </c:pt>
                <c:pt idx="124">
                  <c:v>204.96582396209809</c:v>
                </c:pt>
                <c:pt idx="125">
                  <c:v>207.2186884437028</c:v>
                </c:pt>
                <c:pt idx="126">
                  <c:v>209.47933871860215</c:v>
                </c:pt>
                <c:pt idx="127">
                  <c:v>211.7477273587493</c:v>
                </c:pt>
                <c:pt idx="128">
                  <c:v>214.0238069455468</c:v>
                </c:pt>
                <c:pt idx="129">
                  <c:v>216.30753007160166</c:v>
                </c:pt>
                <c:pt idx="130">
                  <c:v>218.59884934246691</c:v>
                </c:pt>
                <c:pt idx="131">
                  <c:v>220.89771737836946</c:v>
                </c:pt>
                <c:pt idx="132">
                  <c:v>223.20408681592434</c:v>
                </c:pt>
                <c:pt idx="133">
                  <c:v>225.51791030983512</c:v>
                </c:pt>
                <c:pt idx="134">
                  <c:v>227.83914053458034</c:v>
                </c:pt>
                <c:pt idx="135">
                  <c:v>230.16773018608603</c:v>
                </c:pt>
                <c:pt idx="136">
                  <c:v>232.50363198338414</c:v>
                </c:pt>
                <c:pt idx="137">
                  <c:v>234.84679867025673</c:v>
                </c:pt>
                <c:pt idx="138">
                  <c:v>237.19718301686595</c:v>
                </c:pt>
                <c:pt idx="139">
                  <c:v>239.55473782136974</c:v>
                </c:pt>
                <c:pt idx="140">
                  <c:v>241.91941591152303</c:v>
                </c:pt>
                <c:pt idx="141">
                  <c:v>244.29117014626451</c:v>
                </c:pt>
                <c:pt idx="142">
                  <c:v>246.66995341728881</c:v>
                </c:pt>
                <c:pt idx="143">
                  <c:v>249.05571865060426</c:v>
                </c:pt>
                <c:pt idx="144">
                  <c:v>251.44841880807564</c:v>
                </c:pt>
                <c:pt idx="145">
                  <c:v>253.84800688895251</c:v>
                </c:pt>
                <c:pt idx="146">
                  <c:v>256.2544359313826</c:v>
                </c:pt>
                <c:pt idx="147">
                  <c:v>258.66765901391034</c:v>
                </c:pt>
                <c:pt idx="148">
                  <c:v>261.08762925696061</c:v>
                </c:pt>
                <c:pt idx="149">
                  <c:v>263.5142998243075</c:v>
                </c:pt>
                <c:pt idx="150">
                  <c:v>265.94762392452799</c:v>
                </c:pt>
                <c:pt idx="151">
                  <c:v>268.38755544311249</c:v>
                </c:pt>
                <c:pt idx="152">
                  <c:v>270.83404957368759</c:v>
                </c:pt>
                <c:pt idx="153">
                  <c:v>273.28706218623444</c:v>
                </c:pt>
                <c:pt idx="154">
                  <c:v>275.74654919612357</c:v>
                </c:pt>
                <c:pt idx="155">
                  <c:v>278.21246656541138</c:v>
                </c:pt>
                <c:pt idx="156">
                  <c:v>280.68477030412311</c:v>
                </c:pt>
                <c:pt idx="157">
                  <c:v>283.16341647152194</c:v>
                </c:pt>
                <c:pt idx="158">
                  <c:v>285.64836117736445</c:v>
                </c:pt>
                <c:pt idx="159">
                  <c:v>288.13956058314193</c:v>
                </c:pt>
                <c:pt idx="160">
                  <c:v>290.6369709033084</c:v>
                </c:pt>
                <c:pt idx="161">
                  <c:v>293.14054840649425</c:v>
                </c:pt>
                <c:pt idx="162">
                  <c:v>295.65024941670663</c:v>
                </c:pt>
                <c:pt idx="163">
                  <c:v>298.16603031451535</c:v>
                </c:pt>
                <c:pt idx="164">
                  <c:v>300.68784753822553</c:v>
                </c:pt>
                <c:pt idx="165">
                  <c:v>303.21565758503584</c:v>
                </c:pt>
                <c:pt idx="166">
                  <c:v>305.74941701218341</c:v>
                </c:pt>
                <c:pt idx="167">
                  <c:v>308.28908243807433</c:v>
                </c:pt>
                <c:pt idx="168">
                  <c:v>310.83461054340074</c:v>
                </c:pt>
                <c:pt idx="169">
                  <c:v>313.38595807224374</c:v>
                </c:pt>
                <c:pt idx="170">
                  <c:v>315.94308183316269</c:v>
                </c:pt>
                <c:pt idx="171">
                  <c:v>318.50593870027041</c:v>
                </c:pt>
                <c:pt idx="172">
                  <c:v>321.07448561429476</c:v>
                </c:pt>
                <c:pt idx="173">
                  <c:v>323.64867958362618</c:v>
                </c:pt>
                <c:pt idx="174">
                  <c:v>326.22847768535166</c:v>
                </c:pt>
                <c:pt idx="175">
                  <c:v>328.81383706627469</c:v>
                </c:pt>
                <c:pt idx="176">
                  <c:v>331.40471494392153</c:v>
                </c:pt>
                <c:pt idx="177">
                  <c:v>334.00106860753368</c:v>
                </c:pt>
                <c:pt idx="178">
                  <c:v>336.6028554190467</c:v>
                </c:pt>
                <c:pt idx="179">
                  <c:v>339.21003281405518</c:v>
                </c:pt>
                <c:pt idx="180">
                  <c:v>341.82255830276409</c:v>
                </c:pt>
                <c:pt idx="181">
                  <c:v>344.4403894709265</c:v>
                </c:pt>
                <c:pt idx="182">
                  <c:v>347.06348398076761</c:v>
                </c:pt>
                <c:pt idx="183">
                  <c:v>349.6917995718951</c:v>
                </c:pt>
                <c:pt idx="184">
                  <c:v>352.32529406219612</c:v>
                </c:pt>
                <c:pt idx="185">
                  <c:v>354.96392534872047</c:v>
                </c:pt>
                <c:pt idx="186">
                  <c:v>357.60765140855068</c:v>
                </c:pt>
                <c:pt idx="187">
                  <c:v>360.25643029965806</c:v>
                </c:pt>
                <c:pt idx="188">
                  <c:v>362.91022016174588</c:v>
                </c:pt>
                <c:pt idx="189">
                  <c:v>365.56897921707883</c:v>
                </c:pt>
                <c:pt idx="190">
                  <c:v>368.2326657712992</c:v>
                </c:pt>
                <c:pt idx="191">
                  <c:v>370.90123821422986</c:v>
                </c:pt>
                <c:pt idx="192">
                  <c:v>373.57465502066395</c:v>
                </c:pt>
                <c:pt idx="193">
                  <c:v>376.25287475114129</c:v>
                </c:pt>
                <c:pt idx="194">
                  <c:v>378.93585605271164</c:v>
                </c:pt>
                <c:pt idx="195">
                  <c:v>381.62355765968505</c:v>
                </c:pt>
                <c:pt idx="196">
                  <c:v>384.31593839436891</c:v>
                </c:pt>
                <c:pt idx="197">
                  <c:v>387.01295716779208</c:v>
                </c:pt>
                <c:pt idx="198">
                  <c:v>389.71457298041616</c:v>
                </c:pt>
                <c:pt idx="199">
                  <c:v>392.42074492283371</c:v>
                </c:pt>
                <c:pt idx="200">
                  <c:v>395.13143217645376</c:v>
                </c:pt>
                <c:pt idx="201">
                  <c:v>397.84659401417463</c:v>
                </c:pt>
                <c:pt idx="202">
                  <c:v>400.56618980104372</c:v>
                </c:pt>
                <c:pt idx="203">
                  <c:v>403.29017899490486</c:v>
                </c:pt>
                <c:pt idx="204">
                  <c:v>406.0185211470332</c:v>
                </c:pt>
                <c:pt idx="205">
                  <c:v>408.7511759027571</c:v>
                </c:pt>
                <c:pt idx="206">
                  <c:v>411.48810300206821</c:v>
                </c:pt>
                <c:pt idx="207">
                  <c:v>414.22926228021845</c:v>
                </c:pt>
                <c:pt idx="208">
                  <c:v>416.97461366830515</c:v>
                </c:pt>
                <c:pt idx="209">
                  <c:v>419.72411719384377</c:v>
                </c:pt>
                <c:pt idx="210">
                  <c:v>422.4777329813283</c:v>
                </c:pt>
                <c:pt idx="211">
                  <c:v>425.2354212527797</c:v>
                </c:pt>
                <c:pt idx="212">
                  <c:v>427.99714232828211</c:v>
                </c:pt>
                <c:pt idx="213">
                  <c:v>430.76285662650719</c:v>
                </c:pt>
                <c:pt idx="214">
                  <c:v>433.53252466522645</c:v>
                </c:pt>
                <c:pt idx="215">
                  <c:v>436.30610706181182</c:v>
                </c:pt>
                <c:pt idx="216">
                  <c:v>439.08356453372431</c:v>
                </c:pt>
                <c:pt idx="217">
                  <c:v>441.8648578989912</c:v>
                </c:pt>
                <c:pt idx="218">
                  <c:v>444.64994807667131</c:v>
                </c:pt>
                <c:pt idx="219">
                  <c:v>447.43879608730873</c:v>
                </c:pt>
                <c:pt idx="220">
                  <c:v>450.2313630533755</c:v>
                </c:pt>
                <c:pt idx="221">
                  <c:v>453.02761019970228</c:v>
                </c:pt>
                <c:pt idx="222">
                  <c:v>455.82749885389813</c:v>
                </c:pt>
                <c:pt idx="223">
                  <c:v>458.63099044675897</c:v>
                </c:pt>
                <c:pt idx="224">
                  <c:v>461.43804651266464</c:v>
                </c:pt>
                <c:pt idx="225">
                  <c:v>464.24862868996513</c:v>
                </c:pt>
                <c:pt idx="226">
                  <c:v>467.06269872135573</c:v>
                </c:pt>
                <c:pt idx="227">
                  <c:v>469.88021845424123</c:v>
                </c:pt>
                <c:pt idx="228">
                  <c:v>472.70114984108926</c:v>
                </c:pt>
                <c:pt idx="229">
                  <c:v>475.52545493977289</c:v>
                </c:pt>
                <c:pt idx="230">
                  <c:v>478.35309591390251</c:v>
                </c:pt>
                <c:pt idx="231">
                  <c:v>481.18403503314727</c:v>
                </c:pt>
                <c:pt idx="232">
                  <c:v>484.01823467354569</c:v>
                </c:pt>
                <c:pt idx="233">
                  <c:v>486.85565731780628</c:v>
                </c:pt>
                <c:pt idx="234">
                  <c:v>489.69626555559734</c:v>
                </c:pt>
                <c:pt idx="235">
                  <c:v>492.54002208382673</c:v>
                </c:pt>
                <c:pt idx="236">
                  <c:v>495.38688970691163</c:v>
                </c:pt>
                <c:pt idx="237">
                  <c:v>498.23683133703787</c:v>
                </c:pt>
                <c:pt idx="238">
                  <c:v>501.08980999440939</c:v>
                </c:pt>
                <c:pt idx="239">
                  <c:v>503.94578880748787</c:v>
                </c:pt>
                <c:pt idx="240">
                  <c:v>506.80473101322235</c:v>
                </c:pt>
                <c:pt idx="241">
                  <c:v>509.66659995726928</c:v>
                </c:pt>
                <c:pt idx="242">
                  <c:v>512.5313590942028</c:v>
                </c:pt>
                <c:pt idx="243">
                  <c:v>515.3989719877153</c:v>
                </c:pt>
                <c:pt idx="244">
                  <c:v>518.26940231080891</c:v>
                </c:pt>
                <c:pt idx="245">
                  <c:v>521.14261384597705</c:v>
                </c:pt>
                <c:pt idx="246">
                  <c:v>524.01857048537704</c:v>
                </c:pt>
                <c:pt idx="247">
                  <c:v>526.89723623099349</c:v>
                </c:pt>
                <c:pt idx="248">
                  <c:v>529.7785751947921</c:v>
                </c:pt>
                <c:pt idx="249">
                  <c:v>532.66255159886509</c:v>
                </c:pt>
                <c:pt idx="250">
                  <c:v>535.54912977556694</c:v>
                </c:pt>
                <c:pt idx="251">
                  <c:v>538.43827139841926</c:v>
                </c:pt>
                <c:pt idx="252">
                  <c:v>541.3299327204312</c:v>
                </c:pt>
                <c:pt idx="253">
                  <c:v>544.22406736100527</c:v>
                </c:pt>
                <c:pt idx="254">
                  <c:v>547.12062908546022</c:v>
                </c:pt>
                <c:pt idx="255">
                  <c:v>550.01957180521993</c:v>
                </c:pt>
                <c:pt idx="256">
                  <c:v>552.92084957798886</c:v>
                </c:pt>
                <c:pt idx="257">
                  <c:v>555.82441660791301</c:v>
                </c:pt>
                <c:pt idx="258">
                  <c:v>558.73022724572775</c:v>
                </c:pt>
                <c:pt idx="259">
                  <c:v>561.63823598889178</c:v>
                </c:pt>
                <c:pt idx="260">
                  <c:v>564.54839748170787</c:v>
                </c:pt>
                <c:pt idx="261">
                  <c:v>567.46066651543026</c:v>
                </c:pt>
                <c:pt idx="262">
                  <c:v>570.37499802835907</c:v>
                </c:pt>
                <c:pt idx="263">
                  <c:v>573.29134710592143</c:v>
                </c:pt>
                <c:pt idx="264">
                  <c:v>576.20966898074039</c:v>
                </c:pt>
                <c:pt idx="265">
                  <c:v>579.12991903269051</c:v>
                </c:pt>
                <c:pt idx="266">
                  <c:v>582.0520527889413</c:v>
                </c:pt>
                <c:pt idx="267">
                  <c:v>584.97602592398846</c:v>
                </c:pt>
                <c:pt idx="268">
                  <c:v>587.90179425967244</c:v>
                </c:pt>
                <c:pt idx="269">
                  <c:v>590.82931376518513</c:v>
                </c:pt>
                <c:pt idx="270">
                  <c:v>593.75854055706498</c:v>
                </c:pt>
                <c:pt idx="271">
                  <c:v>596.68943089917968</c:v>
                </c:pt>
                <c:pt idx="272">
                  <c:v>599.62194120269771</c:v>
                </c:pt>
                <c:pt idx="273">
                  <c:v>602.55602802604824</c:v>
                </c:pt>
                <c:pt idx="274">
                  <c:v>605.49164807486932</c:v>
                </c:pt>
                <c:pt idx="275">
                  <c:v>608.4287582019457</c:v>
                </c:pt>
                <c:pt idx="276">
                  <c:v>611.36731540713481</c:v>
                </c:pt>
                <c:pt idx="277">
                  <c:v>614.30727683728219</c:v>
                </c:pt>
                <c:pt idx="278">
                  <c:v>617.24859978612585</c:v>
                </c:pt>
                <c:pt idx="279">
                  <c:v>620.19124169419069</c:v>
                </c:pt>
                <c:pt idx="280">
                  <c:v>623.13516014867139</c:v>
                </c:pt>
                <c:pt idx="281">
                  <c:v>626.08031288330585</c:v>
                </c:pt>
                <c:pt idx="282">
                  <c:v>629.0266577782379</c:v>
                </c:pt>
                <c:pt idx="283">
                  <c:v>631.97415285987029</c:v>
                </c:pt>
                <c:pt idx="284">
                  <c:v>634.92275630070731</c:v>
                </c:pt>
                <c:pt idx="285">
                  <c:v>637.87242641918806</c:v>
                </c:pt>
                <c:pt idx="286">
                  <c:v>640.82312167950988</c:v>
                </c:pt>
                <c:pt idx="287">
                  <c:v>643.77480069144224</c:v>
                </c:pt>
                <c:pt idx="288">
                  <c:v>646.72742221013118</c:v>
                </c:pt>
                <c:pt idx="289">
                  <c:v>649.68094513589472</c:v>
                </c:pt>
                <c:pt idx="290">
                  <c:v>652.63532851400896</c:v>
                </c:pt>
                <c:pt idx="291">
                  <c:v>655.59053153448519</c:v>
                </c:pt>
                <c:pt idx="292">
                  <c:v>658.54651353183851</c:v>
                </c:pt>
                <c:pt idx="293">
                  <c:v>661.50323398484727</c:v>
                </c:pt>
                <c:pt idx="294">
                  <c:v>664.46065251630421</c:v>
                </c:pt>
                <c:pt idx="295">
                  <c:v>667.41872889275896</c:v>
                </c:pt>
                <c:pt idx="296">
                  <c:v>670.37742302425261</c:v>
                </c:pt>
                <c:pt idx="297">
                  <c:v>673.33669496404377</c:v>
                </c:pt>
                <c:pt idx="298">
                  <c:v>676.29647430934915</c:v>
                </c:pt>
                <c:pt idx="299">
                  <c:v>679.25662970024234</c:v>
                </c:pt>
                <c:pt idx="300">
                  <c:v>682.21699963949482</c:v>
                </c:pt>
                <c:pt idx="301">
                  <c:v>685.17742321519722</c:v>
                </c:pt>
                <c:pt idx="302">
                  <c:v>688.13774010228497</c:v>
                </c:pt>
                <c:pt idx="303">
                  <c:v>691.09779056391767</c:v>
                </c:pt>
                <c:pt idx="304">
                  <c:v>694.0574154527128</c:v>
                </c:pt>
                <c:pt idx="305">
                  <c:v>697.01645621183729</c:v>
                </c:pt>
                <c:pt idx="306">
                  <c:v>699.97475487595773</c:v>
                </c:pt>
                <c:pt idx="307">
                  <c:v>702.9321540720515</c:v>
                </c:pt>
                <c:pt idx="308">
                  <c:v>705.8884970200819</c:v>
                </c:pt>
                <c:pt idx="309">
                  <c:v>708.84362753353707</c:v>
                </c:pt>
                <c:pt idx="310">
                  <c:v>711.79739001983717</c:v>
                </c:pt>
                <c:pt idx="311">
                  <c:v>714.74962948060943</c:v>
                </c:pt>
                <c:pt idx="312">
                  <c:v>717.70019151183567</c:v>
                </c:pt>
                <c:pt idx="313">
                  <c:v>720.64892230387136</c:v>
                </c:pt>
                <c:pt idx="314">
                  <c:v>723.59566864134092</c:v>
                </c:pt>
                <c:pt idx="315">
                  <c:v>726.54027790290945</c:v>
                </c:pt>
                <c:pt idx="316">
                  <c:v>729.48259806093381</c:v>
                </c:pt>
                <c:pt idx="317">
                  <c:v>732.42247768099435</c:v>
                </c:pt>
                <c:pt idx="318">
                  <c:v>735.35976592130987</c:v>
                </c:pt>
                <c:pt idx="319">
                  <c:v>738.29431253203791</c:v>
                </c:pt>
                <c:pt idx="320">
                  <c:v>741.22596785446115</c:v>
                </c:pt>
                <c:pt idx="321">
                  <c:v>744.15459501406895</c:v>
                </c:pt>
                <c:pt idx="322">
                  <c:v>747.08008206564102</c:v>
                </c:pt>
                <c:pt idx="323">
                  <c:v>750.00232969730439</c:v>
                </c:pt>
                <c:pt idx="324">
                  <c:v>752.92123898225566</c:v>
                </c:pt>
                <c:pt idx="325">
                  <c:v>755.83671137720887</c:v>
                </c:pt>
                <c:pt idx="326">
                  <c:v>758.74864872080457</c:v>
                </c:pt>
                <c:pt idx="327">
                  <c:v>761.65695323198054</c:v>
                </c:pt>
                <c:pt idx="328">
                  <c:v>764.56152750830597</c:v>
                </c:pt>
                <c:pt idx="329">
                  <c:v>767.46227452427888</c:v>
                </c:pt>
                <c:pt idx="330">
                  <c:v>770.35909762958784</c:v>
                </c:pt>
                <c:pt idx="331">
                  <c:v>773.25190054733946</c:v>
                </c:pt>
                <c:pt idx="332">
                  <c:v>776.14058737225184</c:v>
                </c:pt>
                <c:pt idx="333">
                  <c:v>779.02506256881418</c:v>
                </c:pt>
                <c:pt idx="334">
                  <c:v>781.90523096941467</c:v>
                </c:pt>
                <c:pt idx="335">
                  <c:v>784.78099777243631</c:v>
                </c:pt>
                <c:pt idx="336">
                  <c:v>787.65226854032164</c:v>
                </c:pt>
                <c:pt idx="337">
                  <c:v>790.51894919760764</c:v>
                </c:pt>
                <c:pt idx="338">
                  <c:v>793.38094602893091</c:v>
                </c:pt>
                <c:pt idx="339">
                  <c:v>796.23816567700374</c:v>
                </c:pt>
                <c:pt idx="340">
                  <c:v>799.09051514056284</c:v>
                </c:pt>
                <c:pt idx="341">
                  <c:v>801.93790177228971</c:v>
                </c:pt>
                <c:pt idx="342">
                  <c:v>804.78023327670508</c:v>
                </c:pt>
                <c:pt idx="343">
                  <c:v>807.6174177080369</c:v>
                </c:pt>
                <c:pt idx="344">
                  <c:v>810.4493634680631</c:v>
                </c:pt>
                <c:pt idx="345">
                  <c:v>813.2759793039296</c:v>
                </c:pt>
                <c:pt idx="346">
                  <c:v>816.09717430594401</c:v>
                </c:pt>
                <c:pt idx="347">
                  <c:v>818.91285790534641</c:v>
                </c:pt>
                <c:pt idx="348">
                  <c:v>821.72294118822538</c:v>
                </c:pt>
                <c:pt idx="349">
                  <c:v>824.52733820371998</c:v>
                </c:pt>
                <c:pt idx="350">
                  <c:v>827.32596463408004</c:v>
                </c:pt>
                <c:pt idx="351">
                  <c:v>830.1187364704416</c:v>
                </c:pt>
                <c:pt idx="352">
                  <c:v>832.90557001058255</c:v>
                </c:pt>
                <c:pt idx="353">
                  <c:v>835.68638185666168</c:v>
                </c:pt>
                <c:pt idx="354">
                  <c:v>838.46108891294227</c:v>
                </c:pt>
                <c:pt idx="355">
                  <c:v>841.2296083835007</c:v>
                </c:pt>
                <c:pt idx="356">
                  <c:v>843.99185776992022</c:v>
                </c:pt>
                <c:pt idx="357">
                  <c:v>846.74775486897045</c:v>
                </c:pt>
                <c:pt idx="358">
                  <c:v>849.49721777027344</c:v>
                </c:pt>
                <c:pt idx="359">
                  <c:v>852.24016485395634</c:v>
                </c:pt>
                <c:pt idx="360">
                  <c:v>854.97654215868852</c:v>
                </c:pt>
                <c:pt idx="361">
                  <c:v>857.70635062848544</c:v>
                </c:pt>
                <c:pt idx="362">
                  <c:v>860.42961849976757</c:v>
                </c:pt>
                <c:pt idx="363">
                  <c:v>863.14637381175601</c:v>
                </c:pt>
                <c:pt idx="364">
                  <c:v>865.85664440831601</c:v>
                </c:pt>
                <c:pt idx="365">
                  <c:v>868.56045793977842</c:v>
                </c:pt>
                <c:pt idx="366">
                  <c:v>871.25784186474016</c:v>
                </c:pt>
                <c:pt idx="367">
                  <c:v>873.9488234518434</c:v>
                </c:pt>
                <c:pt idx="368">
                  <c:v>876.63342978153457</c:v>
                </c:pt>
                <c:pt idx="369">
                  <c:v>879.31168774780201</c:v>
                </c:pt>
                <c:pt idx="370">
                  <c:v>881.98362405989451</c:v>
                </c:pt>
                <c:pt idx="371">
                  <c:v>884.64926524401915</c:v>
                </c:pt>
                <c:pt idx="372">
                  <c:v>887.30863764501999</c:v>
                </c:pt>
                <c:pt idx="373">
                  <c:v>889.96176742803766</c:v>
                </c:pt>
                <c:pt idx="374">
                  <c:v>892.60868058014921</c:v>
                </c:pt>
                <c:pt idx="375">
                  <c:v>895.2494029119897</c:v>
                </c:pt>
                <c:pt idx="376">
                  <c:v>897.88396005935545</c:v>
                </c:pt>
                <c:pt idx="377">
                  <c:v>900.5123774847882</c:v>
                </c:pt>
                <c:pt idx="378">
                  <c:v>903.13468047914216</c:v>
                </c:pt>
                <c:pt idx="379">
                  <c:v>905.75089416313267</c:v>
                </c:pt>
                <c:pt idx="380">
                  <c:v>908.36104348886784</c:v>
                </c:pt>
                <c:pt idx="381">
                  <c:v>910.96515324136226</c:v>
                </c:pt>
                <c:pt idx="382">
                  <c:v>913.56324804003418</c:v>
                </c:pt>
                <c:pt idx="383">
                  <c:v>916.1553523401858</c:v>
                </c:pt>
                <c:pt idx="384">
                  <c:v>918.74149043446653</c:v>
                </c:pt>
                <c:pt idx="385">
                  <c:v>921.32168645432034</c:v>
                </c:pt>
                <c:pt idx="386">
                  <c:v>923.89596437141699</c:v>
                </c:pt>
                <c:pt idx="387">
                  <c:v>926.46434799906694</c:v>
                </c:pt>
                <c:pt idx="388">
                  <c:v>929.02686099362063</c:v>
                </c:pt>
                <c:pt idx="389">
                  <c:v>931.58352685585248</c:v>
                </c:pt>
                <c:pt idx="390">
                  <c:v>934.13436893232949</c:v>
                </c:pt>
                <c:pt idx="391">
                  <c:v>936.67941041676465</c:v>
                </c:pt>
                <c:pt idx="392">
                  <c:v>939.21867435135528</c:v>
                </c:pt>
                <c:pt idx="393">
                  <c:v>941.75218362810699</c:v>
                </c:pt>
                <c:pt idx="394">
                  <c:v>944.27996099014331</c:v>
                </c:pt>
                <c:pt idx="395">
                  <c:v>946.80202903300005</c:v>
                </c:pt>
                <c:pt idx="396">
                  <c:v>949.31841020590662</c:v>
                </c:pt>
                <c:pt idx="397">
                  <c:v>951.82912681305288</c:v>
                </c:pt>
                <c:pt idx="398">
                  <c:v>954.33420101484217</c:v>
                </c:pt>
                <c:pt idx="399">
                  <c:v>956.83365482913075</c:v>
                </c:pt>
                <c:pt idx="400">
                  <c:v>959.32751013245434</c:v>
                </c:pt>
                <c:pt idx="401">
                  <c:v>983.95982806633049</c:v>
                </c:pt>
                <c:pt idx="402">
                  <c:v>1008.0461850599833</c:v>
                </c:pt>
                <c:pt idx="403">
                  <c:v>1031.6071871818347</c:v>
                </c:pt>
                <c:pt idx="404">
                  <c:v>1054.6621739207383</c:v>
                </c:pt>
                <c:pt idx="405">
                  <c:v>1077.2293207328221</c:v>
                </c:pt>
                <c:pt idx="406">
                  <c:v>1099.3257313242746</c:v>
                </c:pt>
                <c:pt idx="407">
                  <c:v>1120.9675208855283</c:v>
                </c:pt>
                <c:pt idx="408">
                  <c:v>1142.1698913268979</c:v>
                </c:pt>
                <c:pt idx="409">
                  <c:v>1162.947199425651</c:v>
                </c:pt>
                <c:pt idx="410">
                  <c:v>1183.3130186754493</c:v>
                </c:pt>
                <c:pt idx="411">
                  <c:v>1203.2801955275715</c:v>
                </c:pt>
                <c:pt idx="412">
                  <c:v>1222.8609006264969</c:v>
                </c:pt>
                <c:pt idx="413">
                  <c:v>1242.0666755678985</c:v>
                </c:pt>
                <c:pt idx="414">
                  <c:v>1260.9084756429668</c:v>
                </c:pt>
                <c:pt idx="415">
                  <c:v>1279.3967089776197</c:v>
                </c:pt>
                <c:pt idx="416">
                  <c:v>1297.5412724272512</c:v>
                </c:pt>
                <c:pt idx="417">
                  <c:v>1315.351584546094</c:v>
                </c:pt>
                <c:pt idx="418">
                  <c:v>1332.8366159141028</c:v>
                </c:pt>
                <c:pt idx="419">
                  <c:v>1350.0049170727225</c:v>
                </c:pt>
                <c:pt idx="420">
                  <c:v>1366.8646442933325</c:v>
                </c:pt>
                <c:pt idx="421">
                  <c:v>1383.4235833779983</c:v>
                </c:pt>
                <c:pt idx="422">
                  <c:v>1399.6891716709438</c:v>
                </c:pt>
                <c:pt idx="423">
                  <c:v>1415.6685184404942</c:v>
                </c:pt>
                <c:pt idx="424">
                  <c:v>1431.3684237747725</c:v>
                </c:pt>
                <c:pt idx="425">
                  <c:v>1446.7953961198873</c:v>
                </c:pt>
                <c:pt idx="426">
                  <c:v>1461.9556685764751</c:v>
                </c:pt>
                <c:pt idx="427">
                  <c:v>1476.855214059035</c:v>
                </c:pt>
                <c:pt idx="428">
                  <c:v>1491.4997594123483</c:v>
                </c:pt>
                <c:pt idx="429">
                  <c:v>1505.8947985702378</c:v>
                </c:pt>
                <c:pt idx="430">
                  <c:v>1520.0456048338697</c:v>
                </c:pt>
                <c:pt idx="431">
                  <c:v>1533.9572423396069</c:v>
                </c:pt>
                <c:pt idx="432">
                  <c:v>1547.6345767799812</c:v>
                </c:pt>
                <c:pt idx="433">
                  <c:v>1561.0822854355936</c:v>
                </c:pt>
                <c:pt idx="434">
                  <c:v>1574.3048665705676</c:v>
                </c:pt>
                <c:pt idx="435">
                  <c:v>1587.3066482395388</c:v>
                </c:pt>
                <c:pt idx="436">
                  <c:v>1600.0917965499723</c:v>
                </c:pt>
                <c:pt idx="437">
                  <c:v>1612.6643234198289</c:v>
                </c:pt>
                <c:pt idx="438">
                  <c:v>1625.0280938672004</c:v>
                </c:pt>
                <c:pt idx="439">
                  <c:v>1637.1868328654512</c:v>
                </c:pt>
                <c:pt idx="440">
                  <c:v>1649.1441317946246</c:v>
                </c:pt>
                <c:pt idx="441">
                  <c:v>1660.9034545173502</c:v>
                </c:pt>
                <c:pt idx="442">
                  <c:v>1672.4681431051963</c:v>
                </c:pt>
                <c:pt idx="443">
                  <c:v>1683.8414232393395</c:v>
                </c:pt>
                <c:pt idx="444">
                  <c:v>1695.0264093075298</c:v>
                </c:pt>
                <c:pt idx="445">
                  <c:v>1706.0261092176106</c:v>
                </c:pt>
                <c:pt idx="446">
                  <c:v>1716.8434289462873</c:v>
                </c:pt>
                <c:pt idx="447">
                  <c:v>1727.481176840407</c:v>
                </c:pt>
                <c:pt idx="448">
                  <c:v>1737.9420676867044</c:v>
                </c:pt>
                <c:pt idx="449">
                  <c:v>1748.2287265647778</c:v>
                </c:pt>
                <c:pt idx="450">
                  <c:v>1758.3436924969649</c:v>
                </c:pt>
                <c:pt idx="451">
                  <c:v>1768.289421907785</c:v>
                </c:pt>
                <c:pt idx="452">
                  <c:v>1778.0682919047022</c:v>
                </c:pt>
                <c:pt idx="453">
                  <c:v>1787.6826033911148</c:v>
                </c:pt>
                <c:pt idx="454">
                  <c:v>1797.1345840217057</c:v>
                </c:pt>
                <c:pt idx="455">
                  <c:v>1806.4263910095788</c:v>
                </c:pt>
                <c:pt idx="456">
                  <c:v>1815.560113793945</c:v>
                </c:pt>
                <c:pt idx="457">
                  <c:v>1824.5377765765263</c:v>
                </c:pt>
                <c:pt idx="458">
                  <c:v>1833.3613407342839</c:v>
                </c:pt>
                <c:pt idx="459">
                  <c:v>1842.0327071155643</c:v>
                </c:pt>
                <c:pt idx="460">
                  <c:v>1850.5537182262879</c:v>
                </c:pt>
                <c:pt idx="461">
                  <c:v>1858.9261603123596</c:v>
                </c:pt>
                <c:pt idx="462">
                  <c:v>1867.1517653440819</c:v>
                </c:pt>
                <c:pt idx="463">
                  <c:v>1875.2322129079728</c:v>
                </c:pt>
                <c:pt idx="464">
                  <c:v>1883.1691320110449</c:v>
                </c:pt>
                <c:pt idx="465">
                  <c:v>1890.9641028022809</c:v>
                </c:pt>
                <c:pt idx="466">
                  <c:v>1898.61865821574</c:v>
                </c:pt>
                <c:pt idx="467">
                  <c:v>1906.134285539455</c:v>
                </c:pt>
                <c:pt idx="468">
                  <c:v>1913.5124279140234</c:v>
                </c:pt>
                <c:pt idx="469">
                  <c:v>1920.7544857645526</c:v>
                </c:pt>
                <c:pt idx="470">
                  <c:v>1927.8618181694021</c:v>
                </c:pt>
                <c:pt idx="471">
                  <c:v>1934.8357441689566</c:v>
                </c:pt>
                <c:pt idx="472">
                  <c:v>1941.6775440174697</c:v>
                </c:pt>
                <c:pt idx="473">
                  <c:v>1948.3884603808444</c:v>
                </c:pt>
                <c:pt idx="474">
                  <c:v>1954.9696994830424</c:v>
                </c:pt>
                <c:pt idx="475">
                  <c:v>1961.4224322036653</c:v>
                </c:pt>
                <c:pt idx="476">
                  <c:v>1967.747795129101</c:v>
                </c:pt>
                <c:pt idx="477">
                  <c:v>1973.9468915594985</c:v>
                </c:pt>
                <c:pt idx="478">
                  <c:v>1980.0207924737019</c:v>
                </c:pt>
                <c:pt idx="479">
                  <c:v>1985.9705374541638</c:v>
                </c:pt>
                <c:pt idx="480">
                  <c:v>1991.7971355737438</c:v>
                </c:pt>
                <c:pt idx="481">
                  <c:v>1997.5015662461981</c:v>
                </c:pt>
                <c:pt idx="482">
                  <c:v>2003.0847800420711</c:v>
                </c:pt>
                <c:pt idx="483">
                  <c:v>2008.5476994716109</c:v>
                </c:pt>
                <c:pt idx="484">
                  <c:v>2013.8912197362474</c:v>
                </c:pt>
                <c:pt idx="485">
                  <c:v>2019.116209450098</c:v>
                </c:pt>
                <c:pt idx="486">
                  <c:v>2024.2235113328923</c:v>
                </c:pt>
                <c:pt idx="487">
                  <c:v>2029.2139428756429</c:v>
                </c:pt>
                <c:pt idx="488">
                  <c:v>2034.0882969803306</c:v>
                </c:pt>
                <c:pt idx="489">
                  <c:v>2038.8473425748114</c:v>
                </c:pt>
                <c:pt idx="490">
                  <c:v>2043.4918252041105</c:v>
                </c:pt>
                <c:pt idx="491">
                  <c:v>2048.0224675992131</c:v>
                </c:pt>
                <c:pt idx="492">
                  <c:v>2052.43997022443</c:v>
                </c:pt>
                <c:pt idx="493">
                  <c:v>2056.745011804368</c:v>
                </c:pt>
                <c:pt idx="494">
                  <c:v>2060.9382498315153</c:v>
                </c:pt>
                <c:pt idx="495">
                  <c:v>2065.0203210554164</c:v>
                </c:pt>
                <c:pt idx="496">
                  <c:v>2068.9918419543851</c:v>
                </c:pt>
                <c:pt idx="497">
                  <c:v>2072.8534091907018</c:v>
                </c:pt>
                <c:pt idx="498">
                  <c:v>2076.6056000502076</c:v>
                </c:pt>
                <c:pt idx="499">
                  <c:v>2080.2489728672176</c:v>
                </c:pt>
                <c:pt idx="500">
                  <c:v>2083.7840674356667</c:v>
                </c:pt>
                <c:pt idx="501">
                  <c:v>2087.2114054074027</c:v>
                </c:pt>
                <c:pt idx="502">
                  <c:v>2090.5314906785634</c:v>
                </c:pt>
                <c:pt idx="503">
                  <c:v>2093.7448097649776</c:v>
                </c:pt>
                <c:pt idx="504">
                  <c:v>2096.8518321675706</c:v>
                </c:pt>
                <c:pt idx="505">
                  <c:v>2099.8530107287779</c:v>
                </c:pt>
                <c:pt idx="506">
                  <c:v>2102.7487819810194</c:v>
                </c:pt>
                <c:pt idx="507">
                  <c:v>2105.5395664883395</c:v>
                </c:pt>
                <c:pt idx="508">
                  <c:v>2108.2257691823761</c:v>
                </c:pt>
                <c:pt idx="509">
                  <c:v>2110.807779693906</c:v>
                </c:pt>
                <c:pt idx="510">
                  <c:v>2113.2859726812926</c:v>
                </c:pt>
                <c:pt idx="511">
                  <c:v>2115.6607081572611</c:v>
                </c:pt>
                <c:pt idx="512">
                  <c:v>2117.932331815548</c:v>
                </c:pt>
                <c:pt idx="513">
                  <c:v>2120.1011753590815</c:v>
                </c:pt>
                <c:pt idx="514">
                  <c:v>2122.1675568315004</c:v>
                </c:pt>
                <c:pt idx="515">
                  <c:v>2124.1317809539551</c:v>
                </c:pt>
                <c:pt idx="516">
                  <c:v>2125.9941394693001</c:v>
                </c:pt>
                <c:pt idx="517">
                  <c:v>2127.7549114959402</c:v>
                </c:pt>
                <c:pt idx="518">
                  <c:v>2129.4143638937599</c:v>
                </c:pt>
                <c:pt idx="519">
                  <c:v>2130.9727516447097</c:v>
                </c:pt>
                <c:pt idx="520">
                  <c:v>2132.4303182507697</c:v>
                </c:pt>
                <c:pt idx="521">
                  <c:v>2133.7872961521034</c:v>
                </c:pt>
                <c:pt idx="522">
                  <c:v>2135.0439071682822</c:v>
                </c:pt>
                <c:pt idx="523">
                  <c:v>2136.200362965456</c:v>
                </c:pt>
                <c:pt idx="524">
                  <c:v>2137.2568655522532</c:v>
                </c:pt>
                <c:pt idx="525">
                  <c:v>2138.2136078070039</c:v>
                </c:pt>
                <c:pt idx="526">
                  <c:v>2139.0707740385515</c:v>
                </c:pt>
                <c:pt idx="527">
                  <c:v>2139.8285405824527</c:v>
                </c:pt>
                <c:pt idx="528">
                  <c:v>2140.4870764337247</c:v>
                </c:pt>
                <c:pt idx="529">
                  <c:v>2141.0465439165023</c:v>
                </c:pt>
                <c:pt idx="530">
                  <c:v>2141.5070993900003</c:v>
                </c:pt>
                <c:pt idx="531">
                  <c:v>2141.8688939890753</c:v>
                </c:pt>
                <c:pt idx="532">
                  <c:v>2142.1320743964789</c:v>
                </c:pt>
                <c:pt idx="533">
                  <c:v>2142.2967836426533</c:v>
                </c:pt>
                <c:pt idx="534">
                  <c:v>2142.3631619277116</c:v>
                </c:pt>
                <c:pt idx="535">
                  <c:v>2142.3313474591496</c:v>
                </c:pt>
                <c:pt idx="536">
                  <c:v>2142.2014772979314</c:v>
                </c:pt>
                <c:pt idx="537">
                  <c:v>2141.9736882049715</c:v>
                </c:pt>
                <c:pt idx="538">
                  <c:v>2141.6481174797218</c:v>
                </c:pt>
                <c:pt idx="539">
                  <c:v>2141.2249037826227</c:v>
                </c:pt>
                <c:pt idx="540">
                  <c:v>2140.7041879335679</c:v>
                </c:pt>
                <c:pt idx="541">
                  <c:v>2140.0861136792423</c:v>
                </c:pt>
                <c:pt idx="542">
                  <c:v>2139.3708284231539</c:v>
                </c:pt>
                <c:pt idx="543">
                  <c:v>2138.5584839133212</c:v>
                </c:pt>
                <c:pt idx="544">
                  <c:v>2137.6492368838085</c:v>
                </c:pt>
                <c:pt idx="545">
                  <c:v>2136.6432496475531</c:v>
                </c:pt>
                <c:pt idx="546">
                  <c:v>2135.5406906391067</c:v>
                </c:pt>
                <c:pt idx="547">
                  <c:v>2134.3417349070019</c:v>
                </c:pt>
                <c:pt idx="548">
                  <c:v>2133.0465645563636</c:v>
                </c:pt>
                <c:pt idx="549">
                  <c:v>2131.6553691431591</c:v>
                </c:pt>
                <c:pt idx="550">
                  <c:v>2130.1683460220479</c:v>
                </c:pt>
                <c:pt idx="551">
                  <c:v>2128.5857006502288</c:v>
                </c:pt>
                <c:pt idx="552">
                  <c:v>2126.9076468499461</c:v>
                </c:pt>
                <c:pt idx="553">
                  <c:v>2125.1344070324708</c:v>
                </c:pt>
                <c:pt idx="554">
                  <c:v>2123.2662123864152</c:v>
                </c:pt>
                <c:pt idx="555">
                  <c:v>2121.3033030332108</c:v>
                </c:pt>
                <c:pt idx="556">
                  <c:v>2119.2459281524789</c:v>
                </c:pt>
                <c:pt idx="557">
                  <c:v>2117.0943460798962</c:v>
                </c:pt>
                <c:pt idx="558">
                  <c:v>2114.8488243799916</c:v>
                </c:pt>
                <c:pt idx="559">
                  <c:v>2112.5096398961368</c:v>
                </c:pt>
                <c:pt idx="560">
                  <c:v>2110.0770787798115</c:v>
                </c:pt>
                <c:pt idx="561">
                  <c:v>2107.5514365010449</c:v>
                </c:pt>
                <c:pt idx="562">
                  <c:v>2104.9330178417645</c:v>
                </c:pt>
                <c:pt idx="563">
                  <c:v>2102.2221368736127</c:v>
                </c:pt>
                <c:pt idx="564">
                  <c:v>2099.419116921646</c:v>
                </c:pt>
                <c:pt idx="565">
                  <c:v>2096.524290515189</c:v>
                </c:pt>
                <c:pt idx="566">
                  <c:v>2093.5379993269858</c:v>
                </c:pt>
                <c:pt idx="567">
                  <c:v>2090.4605941016771</c:v>
                </c:pt>
                <c:pt idx="568">
                  <c:v>2087.2924345745323</c:v>
                </c:pt>
                <c:pt idx="569">
                  <c:v>2084.0338893812645</c:v>
                </c:pt>
                <c:pt idx="570">
                  <c:v>2080.6853359596807</c:v>
                </c:pt>
                <c:pt idx="571">
                  <c:v>2077.2471604438483</c:v>
                </c:pt>
                <c:pt idx="572">
                  <c:v>2073.7197575513856</c:v>
                </c:pt>
                <c:pt idx="573">
                  <c:v>2070.1035304644356</c:v>
                </c:pt>
                <c:pt idx="574">
                  <c:v>2066.398890704832</c:v>
                </c:pt>
                <c:pt idx="575">
                  <c:v>2062.6062580039134</c:v>
                </c:pt>
                <c:pt idx="576">
                  <c:v>2058.7260601674161</c:v>
                </c:pt>
                <c:pt idx="577">
                  <c:v>2054.7587329358275</c:v>
                </c:pt>
                <c:pt idx="578">
                  <c:v>2050.7047198405635</c:v>
                </c:pt>
                <c:pt idx="579">
                  <c:v>2046.5644720563018</c:v>
                </c:pt>
                <c:pt idx="580">
                  <c:v>2042.3384482497786</c:v>
                </c:pt>
                <c:pt idx="581">
                  <c:v>2038.0271144253359</c:v>
                </c:pt>
                <c:pt idx="582">
                  <c:v>2033.630943767492</c:v>
                </c:pt>
                <c:pt idx="583">
                  <c:v>2029.1504164807866</c:v>
                </c:pt>
                <c:pt idx="584">
                  <c:v>2024.5860196271387</c:v>
                </c:pt>
                <c:pt idx="585">
                  <c:v>2019.938246960945</c:v>
                </c:pt>
                <c:pt idx="586">
                  <c:v>2015.2075987621315</c:v>
                </c:pt>
                <c:pt idx="587">
                  <c:v>2010.3945816673638</c:v>
                </c:pt>
                <c:pt idx="588">
                  <c:v>2005.4997084996087</c:v>
                </c:pt>
                <c:pt idx="589">
                  <c:v>2000.5234980962339</c:v>
                </c:pt>
                <c:pt idx="590">
                  <c:v>1995.4664751358241</c:v>
                </c:pt>
                <c:pt idx="591">
                  <c:v>1990.3291699638842</c:v>
                </c:pt>
                <c:pt idx="592">
                  <c:v>1985.1121184175936</c:v>
                </c:pt>
                <c:pt idx="593">
                  <c:v>1979.8158616497713</c:v>
                </c:pt>
                <c:pt idx="594">
                  <c:v>1974.4409459522028</c:v>
                </c:pt>
                <c:pt idx="595">
                  <c:v>1968.9879225784773</c:v>
                </c:pt>
                <c:pt idx="596">
                  <c:v>1963.4573475664779</c:v>
                </c:pt>
                <c:pt idx="597">
                  <c:v>1957.8497815606615</c:v>
                </c:pt>
                <c:pt idx="598">
                  <c:v>1952.1657896342633</c:v>
                </c:pt>
                <c:pt idx="599">
                  <c:v>1946.4059411115534</c:v>
                </c:pt>
                <c:pt idx="600">
                  <c:v>1940.5708093902715</c:v>
                </c:pt>
                <c:pt idx="601">
                  <c:v>1934.6609717643603</c:v>
                </c:pt>
                <c:pt idx="602">
                  <c:v>1928.6770092471149</c:v>
                </c:pt>
                <c:pt idx="603">
                  <c:v>1922.6195063948624</c:v>
                </c:pt>
                <c:pt idx="604">
                  <c:v>1916.4890511312794</c:v>
                </c:pt>
                <c:pt idx="605">
                  <c:v>1910.2862345724573</c:v>
                </c:pt>
                <c:pt idx="606">
                  <c:v>1904.0116508528142</c:v>
                </c:pt>
                <c:pt idx="607">
                  <c:v>1897.6658969519569</c:v>
                </c:pt>
                <c:pt idx="608">
                  <c:v>1891.2495725225851</c:v>
                </c:pt>
                <c:pt idx="609">
                  <c:v>1884.7632797195338</c:v>
                </c:pt>
                <c:pt idx="610">
                  <c:v>1878.207623030042</c:v>
                </c:pt>
                <c:pt idx="611">
                  <c:v>1871.5832091053342</c:v>
                </c:pt>
                <c:pt idx="612">
                  <c:v>1864.890646593597</c:v>
                </c:pt>
                <c:pt idx="613">
                  <c:v>1858.1305459744324</c:v>
                </c:pt>
                <c:pt idx="614">
                  <c:v>1851.3035193948631</c:v>
                </c:pt>
                <c:pt idx="615">
                  <c:v>1844.4101805069636</c:v>
                </c:pt>
                <c:pt idx="616">
                  <c:v>1837.4511443071888</c:v>
                </c:pt>
                <c:pt idx="617">
                  <c:v>1830.4270269774661</c:v>
                </c:pt>
                <c:pt idx="618">
                  <c:v>1823.3384457281165</c:v>
                </c:pt>
                <c:pt idx="619">
                  <c:v>1816.1860186426659</c:v>
                </c:pt>
                <c:pt idx="620">
                  <c:v>1808.9703645246043</c:v>
                </c:pt>
                <c:pt idx="621">
                  <c:v>1801.6921027461503</c:v>
                </c:pt>
                <c:pt idx="622">
                  <c:v>1794.3518530990718</c:v>
                </c:pt>
                <c:pt idx="623">
                  <c:v>1786.9502356476132</c:v>
                </c:pt>
                <c:pt idx="624">
                  <c:v>1779.4878705835763</c:v>
                </c:pt>
                <c:pt idx="625">
                  <c:v>1771.9653780835988</c:v>
                </c:pt>
                <c:pt idx="626">
                  <c:v>1764.3833781686719</c:v>
                </c:pt>
                <c:pt idx="627">
                  <c:v>1756.7424905659348</c:v>
                </c:pt>
                <c:pt idx="628">
                  <c:v>1749.0433345727824</c:v>
                </c:pt>
                <c:pt idx="629">
                  <c:v>1741.2865289233214</c:v>
                </c:pt>
                <c:pt idx="630">
                  <c:v>1733.4726916572004</c:v>
                </c:pt>
                <c:pt idx="631">
                  <c:v>1725.6024399908474</c:v>
                </c:pt>
                <c:pt idx="632">
                  <c:v>1717.6763901911377</c:v>
                </c:pt>
                <c:pt idx="633">
                  <c:v>1709.695157451514</c:v>
                </c:pt>
                <c:pt idx="634">
                  <c:v>1701.6593557705817</c:v>
                </c:pt>
                <c:pt idx="635">
                  <c:v>1693.5695978331958</c:v>
                </c:pt>
                <c:pt idx="636">
                  <c:v>1685.4264948940558</c:v>
                </c:pt>
                <c:pt idx="637">
                  <c:v>1677.2306566638226</c:v>
                </c:pt>
                <c:pt idx="638">
                  <c:v>1668.9826911977666</c:v>
                </c:pt>
                <c:pt idx="639">
                  <c:v>1660.6832047869586</c:v>
                </c:pt>
                <c:pt idx="640">
                  <c:v>1652.332801852009</c:v>
                </c:pt>
                <c:pt idx="641">
                  <c:v>1643.9320848393602</c:v>
                </c:pt>
                <c:pt idx="642">
                  <c:v>1635.4816541201349</c:v>
                </c:pt>
                <c:pt idx="643">
                  <c:v>1626.9821078915415</c:v>
                </c:pt>
                <c:pt idx="644">
                  <c:v>1618.4340420808355</c:v>
                </c:pt>
                <c:pt idx="645">
                  <c:v>1609.8380502518323</c:v>
                </c:pt>
                <c:pt idx="646">
                  <c:v>1601.1947235139701</c:v>
                </c:pt>
                <c:pt idx="647">
                  <c:v>1592.5046504339118</c:v>
                </c:pt>
                <c:pt idx="648">
                  <c:v>1583.7684169496818</c:v>
                </c:pt>
                <c:pt idx="649">
                  <c:v>1574.986606287325</c:v>
                </c:pt>
                <c:pt idx="650">
                  <c:v>1566.1597988800772</c:v>
                </c:pt>
                <c:pt idx="651">
                  <c:v>1557.2885722900353</c:v>
                </c:pt>
                <c:pt idx="652">
                  <c:v>1548.3735011323104</c:v>
                </c:pt>
                <c:pt idx="653">
                  <c:v>1539.4151570016497</c:v>
                </c:pt>
                <c:pt idx="654">
                  <c:v>1530.4141084015093</c:v>
                </c:pt>
                <c:pt idx="655">
                  <c:v>1521.37092067556</c:v>
                </c:pt>
                <c:pt idx="656">
                  <c:v>1512.2861559416044</c:v>
                </c:pt>
                <c:pt idx="657">
                  <c:v>1503.1603730278871</c:v>
                </c:pt>
                <c:pt idx="658">
                  <c:v>1493.9941274117734</c:v>
                </c:pt>
                <c:pt idx="659">
                  <c:v>1484.787971160775</c:v>
                </c:pt>
                <c:pt idx="660">
                  <c:v>1475.5424528758977</c:v>
                </c:pt>
                <c:pt idx="661">
                  <c:v>1466.2581176372853</c:v>
                </c:pt>
                <c:pt idx="662">
                  <c:v>1456.9355069521355</c:v>
                </c:pt>
                <c:pt idx="663">
                  <c:v>1447.5751587048585</c:v>
                </c:pt>
                <c:pt idx="664">
                  <c:v>1438.177607109453</c:v>
                </c:pt>
                <c:pt idx="665">
                  <c:v>1428.7433826640683</c:v>
                </c:pt>
                <c:pt idx="666">
                  <c:v>1419.2730121077252</c:v>
                </c:pt>
                <c:pt idx="667">
                  <c:v>1409.7670183791652</c:v>
                </c:pt>
                <c:pt idx="668">
                  <c:v>1400.2259205777978</c:v>
                </c:pt>
                <c:pt idx="669">
                  <c:v>1390.6502339267138</c:v>
                </c:pt>
                <c:pt idx="670">
                  <c:v>1381.0404697377337</c:v>
                </c:pt>
                <c:pt idx="671">
                  <c:v>1371.3971353784589</c:v>
                </c:pt>
                <c:pt idx="672">
                  <c:v>1361.7207342412928</c:v>
                </c:pt>
                <c:pt idx="673">
                  <c:v>1352.0117657144003</c:v>
                </c:pt>
                <c:pt idx="674">
                  <c:v>1342.2707251545694</c:v>
                </c:pt>
                <c:pt idx="675">
                  <c:v>1332.4981038619442</c:v>
                </c:pt>
                <c:pt idx="676">
                  <c:v>1322.6943890565935</c:v>
                </c:pt>
                <c:pt idx="677">
                  <c:v>1312.8600638568828</c:v>
                </c:pt>
                <c:pt idx="678">
                  <c:v>1302.9956072596119</c:v>
                </c:pt>
                <c:pt idx="679">
                  <c:v>1293.1014941218875</c:v>
                </c:pt>
                <c:pt idx="680">
                  <c:v>1283.1781951446935</c:v>
                </c:pt>
                <c:pt idx="681">
                  <c:v>1273.2261768581252</c:v>
                </c:pt>
                <c:pt idx="682">
                  <c:v>1263.2459016082523</c:v>
                </c:pt>
                <c:pt idx="683">
                  <c:v>1253.2378275455762</c:v>
                </c:pt>
                <c:pt idx="684">
                  <c:v>1243.2024086150461</c:v>
                </c:pt>
                <c:pt idx="685">
                  <c:v>1233.1400945475993</c:v>
                </c:pt>
                <c:pt idx="686">
                  <c:v>1223.0513308531922</c:v>
                </c:pt>
                <c:pt idx="687">
                  <c:v>1212.9365588152843</c:v>
                </c:pt>
                <c:pt idx="688">
                  <c:v>1202.7962154867434</c:v>
                </c:pt>
                <c:pt idx="689">
                  <c:v>1192.6307336871371</c:v>
                </c:pt>
                <c:pt idx="690">
                  <c:v>1182.4405420013738</c:v>
                </c:pt>
                <c:pt idx="691">
                  <c:v>1172.2260647796636</c:v>
                </c:pt>
                <c:pt idx="692">
                  <c:v>1161.9877221387596</c:v>
                </c:pt>
                <c:pt idx="693">
                  <c:v>1151.7259299644516</c:v>
                </c:pt>
                <c:pt idx="694">
                  <c:v>1141.4410999152735</c:v>
                </c:pt>
                <c:pt idx="695">
                  <c:v>1131.1336394273956</c:v>
                </c:pt>
                <c:pt idx="696">
                  <c:v>1120.8039517206648</c:v>
                </c:pt>
                <c:pt idx="697">
                  <c:v>1110.4524358057643</c:v>
                </c:pt>
                <c:pt idx="698">
                  <c:v>1100.079486492456</c:v>
                </c:pt>
                <c:pt idx="699">
                  <c:v>1089.6854943988781</c:v>
                </c:pt>
                <c:pt idx="700">
                  <c:v>1079.2708459618616</c:v>
                </c:pt>
                <c:pt idx="701">
                  <c:v>1068.8359234482386</c:v>
                </c:pt>
                <c:pt idx="702">
                  <c:v>1058.3811049671087</c:v>
                </c:pt>
                <c:pt idx="703">
                  <c:v>1047.9067644830336</c:v>
                </c:pt>
                <c:pt idx="704">
                  <c:v>1037.41327183013</c:v>
                </c:pt>
                <c:pt idx="705">
                  <c:v>1026.9009927270313</c:v>
                </c:pt>
                <c:pt idx="706">
                  <c:v>1016.370288792687</c:v>
                </c:pt>
                <c:pt idx="707">
                  <c:v>1005.8215175629738</c:v>
                </c:pt>
                <c:pt idx="708">
                  <c:v>995.25503250808617</c:v>
                </c:pt>
                <c:pt idx="709">
                  <c:v>984.67118305068152</c:v>
                </c:pt>
                <c:pt idx="710">
                  <c:v>974.07031458475001</c:v>
                </c:pt>
                <c:pt idx="711">
                  <c:v>963.45276849518302</c:v>
                </c:pt>
                <c:pt idx="712">
                  <c:v>952.81888217801281</c:v>
                </c:pt>
                <c:pt idx="713">
                  <c:v>942.16898906129722</c:v>
                </c:pt>
                <c:pt idx="714">
                  <c:v>931.50341862662356</c:v>
                </c:pt>
                <c:pt idx="715">
                  <c:v>920.82249643120599</c:v>
                </c:pt>
                <c:pt idx="716">
                  <c:v>910.12654413055157</c:v>
                </c:pt>
                <c:pt idx="717">
                  <c:v>899.41587950167013</c:v>
                </c:pt>
                <c:pt idx="718">
                  <c:v>888.69081646680468</c:v>
                </c:pt>
                <c:pt idx="719">
                  <c:v>877.95166511765751</c:v>
                </c:pt>
                <c:pt idx="720">
                  <c:v>867.19873174009001</c:v>
                </c:pt>
                <c:pt idx="721">
                  <c:v>856.4323188392724</c:v>
                </c:pt>
                <c:pt idx="722">
                  <c:v>845.65272516526238</c:v>
                </c:pt>
                <c:pt idx="723">
                  <c:v>834.86024573898987</c:v>
                </c:pt>
                <c:pt idx="724">
                  <c:v>824.05517187862711</c:v>
                </c:pt>
                <c:pt idx="725">
                  <c:v>813.23779122632288</c:v>
                </c:pt>
                <c:pt idx="726">
                  <c:v>802.40838777528097</c:v>
                </c:pt>
                <c:pt idx="727">
                  <c:v>791.56724189716272</c:v>
                </c:pt>
                <c:pt idx="728">
                  <c:v>780.71463036979389</c:v>
                </c:pt>
                <c:pt idx="729">
                  <c:v>769.85082640515725</c:v>
                </c:pt>
                <c:pt idx="730">
                  <c:v>758.97609967765197</c:v>
                </c:pt>
                <c:pt idx="731">
                  <c:v>748.0907163526025</c:v>
                </c:pt>
                <c:pt idx="732">
                  <c:v>737.19493911499774</c:v>
                </c:pt>
                <c:pt idx="733">
                  <c:v>726.28902719844496</c:v>
                </c:pt>
                <c:pt idx="734">
                  <c:v>715.37323641432044</c:v>
                </c:pt>
                <c:pt idx="735">
                  <c:v>704.44781918110107</c:v>
                </c:pt>
                <c:pt idx="736">
                  <c:v>693.51302455386065</c:v>
                </c:pt>
                <c:pt idx="737">
                  <c:v>682.56909825391585</c:v>
                </c:pt>
                <c:pt idx="738">
                  <c:v>671.61628269860569</c:v>
                </c:pt>
                <c:pt idx="739">
                  <c:v>660.65481703119121</c:v>
                </c:pt>
                <c:pt idx="740">
                  <c:v>649.68493715086026</c:v>
                </c:pt>
                <c:pt idx="741">
                  <c:v>638.70687574282306</c:v>
                </c:pt>
                <c:pt idx="742">
                  <c:v>627.7208623084864</c:v>
                </c:pt>
                <c:pt idx="743">
                  <c:v>616.72712319569177</c:v>
                </c:pt>
                <c:pt idx="744">
                  <c:v>605.72588162900615</c:v>
                </c:pt>
                <c:pt idx="745">
                  <c:v>594.71735774005231</c:v>
                </c:pt>
                <c:pt idx="746">
                  <c:v>583.70176859786648</c:v>
                </c:pt>
                <c:pt idx="747">
                  <c:v>572.67932823927288</c:v>
                </c:pt>
                <c:pt idx="748">
                  <c:v>561.6502476992622</c:v>
                </c:pt>
                <c:pt idx="749">
                  <c:v>550.61473504136495</c:v>
                </c:pt>
                <c:pt idx="750">
                  <c:v>539.57299538800794</c:v>
                </c:pt>
                <c:pt idx="751">
                  <c:v>528.52523095084382</c:v>
                </c:pt>
                <c:pt idx="752">
                  <c:v>517.47164106104481</c:v>
                </c:pt>
                <c:pt idx="753">
                  <c:v>506.41242219954938</c:v>
                </c:pt>
                <c:pt idx="754">
                  <c:v>495.34776802725486</c:v>
                </c:pt>
                <c:pt idx="755">
                  <c:v>484.27786941514501</c:v>
                </c:pt>
                <c:pt idx="756">
                  <c:v>473.20291447434539</c:v>
                </c:pt>
                <c:pt idx="757">
                  <c:v>462.12308858609782</c:v>
                </c:pt>
                <c:pt idx="758">
                  <c:v>451.03857443164594</c:v>
                </c:pt>
                <c:pt idx="759">
                  <c:v>439.94955202202442</c:v>
                </c:pt>
                <c:pt idx="760">
                  <c:v>428.85619872774407</c:v>
                </c:pt>
                <c:pt idx="761">
                  <c:v>417.75868930836646</c:v>
                </c:pt>
                <c:pt idx="762">
                  <c:v>406.65719594196048</c:v>
                </c:pt>
                <c:pt idx="763">
                  <c:v>395.5518882544348</c:v>
                </c:pt>
                <c:pt idx="764">
                  <c:v>384.44293334874004</c:v>
                </c:pt>
                <c:pt idx="765">
                  <c:v>373.33049583393421</c:v>
                </c:pt>
                <c:pt idx="766">
                  <c:v>362.21473785410598</c:v>
                </c:pt>
                <c:pt idx="767">
                  <c:v>351.09581911715037</c:v>
                </c:pt>
                <c:pt idx="768">
                  <c:v>339.97389692339129</c:v>
                </c:pt>
                <c:pt idx="769">
                  <c:v>328.84912619404622</c:v>
                </c:pt>
                <c:pt idx="770">
                  <c:v>317.72165949952807</c:v>
                </c:pt>
                <c:pt idx="771">
                  <c:v>306.5916470875797</c:v>
                </c:pt>
                <c:pt idx="772">
                  <c:v>295.45923691123659</c:v>
                </c:pt>
                <c:pt idx="773">
                  <c:v>284.32457465661412</c:v>
                </c:pt>
                <c:pt idx="774">
                  <c:v>273.18780377051456</c:v>
                </c:pt>
                <c:pt idx="775">
                  <c:v>262.04906548785118</c:v>
                </c:pt>
                <c:pt idx="776">
                  <c:v>250.90849885888483</c:v>
                </c:pt>
                <c:pt idx="777">
                  <c:v>239.76624077627068</c:v>
                </c:pt>
                <c:pt idx="778">
                  <c:v>228.62242600191129</c:v>
                </c:pt>
                <c:pt idx="779">
                  <c:v>217.47718719361336</c:v>
                </c:pt>
                <c:pt idx="780">
                  <c:v>206.3306549315453</c:v>
                </c:pt>
                <c:pt idx="781">
                  <c:v>195.18295774449305</c:v>
                </c:pt>
                <c:pt idx="782">
                  <c:v>184.03422213591168</c:v>
                </c:pt>
                <c:pt idx="783">
                  <c:v>172.88457260977054</c:v>
                </c:pt>
                <c:pt idx="784">
                  <c:v>161.73413169618982</c:v>
                </c:pt>
                <c:pt idx="785">
                  <c:v>150.58301997686652</c:v>
                </c:pt>
                <c:pt idx="786">
                  <c:v>139.43135611028811</c:v>
                </c:pt>
                <c:pt idx="787">
                  <c:v>128.27925685673213</c:v>
                </c:pt>
                <c:pt idx="788">
                  <c:v>117.12683710305035</c:v>
                </c:pt>
                <c:pt idx="789">
                  <c:v>105.97420988723582</c:v>
                </c:pt>
                <c:pt idx="790">
                  <c:v>94.821486422771898</c:v>
                </c:pt>
                <c:pt idx="791">
                  <c:v>83.668776122761912</c:v>
                </c:pt>
                <c:pt idx="792">
                  <c:v>72.51618662383845</c:v>
                </c:pt>
                <c:pt idx="793">
                  <c:v>61.363823809851567</c:v>
                </c:pt>
                <c:pt idx="794">
                  <c:v>50.211791835334935</c:v>
                </c:pt>
                <c:pt idx="795">
                  <c:v>39.060193148749448</c:v>
                </c:pt>
                <c:pt idx="796">
                  <c:v>27.909128515503639</c:v>
                </c:pt>
                <c:pt idx="797">
                  <c:v>16.758697040750533</c:v>
                </c:pt>
                <c:pt idx="798">
                  <c:v>5.6089961919605429</c:v>
                </c:pt>
                <c:pt idx="799">
                  <c:v>-5.5398781787297828</c:v>
                </c:pt>
                <c:pt idx="800">
                  <c:v>-5.5510266156151804</c:v>
                </c:pt>
                <c:pt idx="801">
                  <c:v>-5.5621750515330612</c:v>
                </c:pt>
                <c:pt idx="802">
                  <c:v>-5.5733234864833339</c:v>
                </c:pt>
                <c:pt idx="803">
                  <c:v>-5.5844719204659059</c:v>
                </c:pt>
                <c:pt idx="804">
                  <c:v>-5.595620353480685</c:v>
                </c:pt>
                <c:pt idx="805">
                  <c:v>-5.6067687855275796</c:v>
                </c:pt>
                <c:pt idx="806">
                  <c:v>-5.6179172166064983</c:v>
                </c:pt>
                <c:pt idx="807">
                  <c:v>-5.6290656467173488</c:v>
                </c:pt>
                <c:pt idx="808">
                  <c:v>-5.6402140758600394</c:v>
                </c:pt>
                <c:pt idx="809">
                  <c:v>-5.6513625040344788</c:v>
                </c:pt>
                <c:pt idx="810">
                  <c:v>-5.6625109312405746</c:v>
                </c:pt>
                <c:pt idx="811">
                  <c:v>-5.6736593574782344</c:v>
                </c:pt>
                <c:pt idx="812">
                  <c:v>-5.6848077827473666</c:v>
                </c:pt>
                <c:pt idx="813">
                  <c:v>-5.69595620704788</c:v>
                </c:pt>
                <c:pt idx="814">
                  <c:v>-5.7071046303796829</c:v>
                </c:pt>
                <c:pt idx="815">
                  <c:v>-5.7182530527426829</c:v>
                </c:pt>
                <c:pt idx="816">
                  <c:v>-5.7294014741367878</c:v>
                </c:pt>
                <c:pt idx="817">
                  <c:v>-5.740549894561906</c:v>
                </c:pt>
                <c:pt idx="818">
                  <c:v>-5.7516983140179461</c:v>
                </c:pt>
                <c:pt idx="819">
                  <c:v>-5.7628467325048165</c:v>
                </c:pt>
                <c:pt idx="820">
                  <c:v>-5.7739951500224249</c:v>
                </c:pt>
                <c:pt idx="821">
                  <c:v>-5.785143566570679</c:v>
                </c:pt>
                <c:pt idx="822">
                  <c:v>-5.7962919821494872</c:v>
                </c:pt>
                <c:pt idx="823">
                  <c:v>-5.807440396758758</c:v>
                </c:pt>
                <c:pt idx="824">
                  <c:v>-5.8185888103984</c:v>
                </c:pt>
                <c:pt idx="825">
                  <c:v>-5.8297372230683209</c:v>
                </c:pt>
                <c:pt idx="826">
                  <c:v>-5.8408856347684281</c:v>
                </c:pt>
                <c:pt idx="827">
                  <c:v>-5.8520340454986304</c:v>
                </c:pt>
                <c:pt idx="828">
                  <c:v>-5.8631824552588361</c:v>
                </c:pt>
                <c:pt idx="829">
                  <c:v>-5.8743308640489538</c:v>
                </c:pt>
                <c:pt idx="830">
                  <c:v>-5.8854792718688911</c:v>
                </c:pt>
                <c:pt idx="831">
                  <c:v>-5.8966276787185565</c:v>
                </c:pt>
                <c:pt idx="832">
                  <c:v>-5.9077760845978577</c:v>
                </c:pt>
                <c:pt idx="833">
                  <c:v>-5.9189244895067032</c:v>
                </c:pt>
                <c:pt idx="834">
                  <c:v>-5.9300728934450015</c:v>
                </c:pt>
                <c:pt idx="835">
                  <c:v>-5.9412212964126603</c:v>
                </c:pt>
                <c:pt idx="836">
                  <c:v>-5.952369698409588</c:v>
                </c:pt>
                <c:pt idx="837">
                  <c:v>-5.9635180994356922</c:v>
                </c:pt>
                <c:pt idx="838">
                  <c:v>-5.9746664994908816</c:v>
                </c:pt>
                <c:pt idx="839">
                  <c:v>-5.9858148985750645</c:v>
                </c:pt>
                <c:pt idx="840">
                  <c:v>-5.9969632966881488</c:v>
                </c:pt>
                <c:pt idx="841">
                  <c:v>-6.0081116938300427</c:v>
                </c:pt>
                <c:pt idx="842">
                  <c:v>-6.019260090000655</c:v>
                </c:pt>
                <c:pt idx="843">
                  <c:v>-6.0304084851998931</c:v>
                </c:pt>
                <c:pt idx="844">
                  <c:v>-6.0415568794276657</c:v>
                </c:pt>
                <c:pt idx="845">
                  <c:v>-6.0527052726838813</c:v>
                </c:pt>
                <c:pt idx="846">
                  <c:v>-6.0638536649684474</c:v>
                </c:pt>
                <c:pt idx="847">
                  <c:v>-6.0750020562812725</c:v>
                </c:pt>
                <c:pt idx="848">
                  <c:v>-6.0861504466222645</c:v>
                </c:pt>
                <c:pt idx="849">
                  <c:v>-6.0972988359913325</c:v>
                </c:pt>
                <c:pt idx="850">
                  <c:v>-6.1084472243883843</c:v>
                </c:pt>
                <c:pt idx="851">
                  <c:v>-6.1195956118133275</c:v>
                </c:pt>
                <c:pt idx="852">
                  <c:v>-6.1307439982660705</c:v>
                </c:pt>
                <c:pt idx="853">
                  <c:v>-6.141892383746522</c:v>
                </c:pt>
                <c:pt idx="854">
                  <c:v>-6.1530407682545896</c:v>
                </c:pt>
                <c:pt idx="855">
                  <c:v>-6.1641891517901826</c:v>
                </c:pt>
                <c:pt idx="856">
                  <c:v>-6.1753375343532078</c:v>
                </c:pt>
                <c:pt idx="857">
                  <c:v>-6.1864859159435746</c:v>
                </c:pt>
                <c:pt idx="858">
                  <c:v>-6.1976342965611906</c:v>
                </c:pt>
                <c:pt idx="859">
                  <c:v>-6.2087826762059644</c:v>
                </c:pt>
                <c:pt idx="860">
                  <c:v>-6.2199310548778035</c:v>
                </c:pt>
                <c:pt idx="861">
                  <c:v>-6.2310794325766166</c:v>
                </c:pt>
                <c:pt idx="862">
                  <c:v>-6.242227809302312</c:v>
                </c:pt>
                <c:pt idx="863">
                  <c:v>-6.2533761850547984</c:v>
                </c:pt>
                <c:pt idx="864">
                  <c:v>-6.2645245598339834</c:v>
                </c:pt>
                <c:pt idx="865">
                  <c:v>-6.2756729336397754</c:v>
                </c:pt>
                <c:pt idx="866">
                  <c:v>-6.2868213064720821</c:v>
                </c:pt>
                <c:pt idx="867">
                  <c:v>-6.297969678330813</c:v>
                </c:pt>
                <c:pt idx="868">
                  <c:v>-6.3091180492158747</c:v>
                </c:pt>
                <c:pt idx="869">
                  <c:v>-6.3202664191271767</c:v>
                </c:pt>
                <c:pt idx="870">
                  <c:v>-6.3314147880646265</c:v>
                </c:pt>
                <c:pt idx="871">
                  <c:v>-6.3425631560281328</c:v>
                </c:pt>
                <c:pt idx="872">
                  <c:v>-6.353711523017604</c:v>
                </c:pt>
                <c:pt idx="873">
                  <c:v>-6.3648598890329477</c:v>
                </c:pt>
                <c:pt idx="874">
                  <c:v>-6.3760082540740726</c:v>
                </c:pt>
                <c:pt idx="875">
                  <c:v>-6.387156618140887</c:v>
                </c:pt>
                <c:pt idx="876">
                  <c:v>-6.3983049812332986</c:v>
                </c:pt>
                <c:pt idx="877">
                  <c:v>-6.4094533433512169</c:v>
                </c:pt>
                <c:pt idx="878">
                  <c:v>-6.4206017044945485</c:v>
                </c:pt>
                <c:pt idx="879">
                  <c:v>-6.4317500646632029</c:v>
                </c:pt>
                <c:pt idx="880">
                  <c:v>-6.4428984238570877</c:v>
                </c:pt>
                <c:pt idx="881">
                  <c:v>-6.4540467820761114</c:v>
                </c:pt>
                <c:pt idx="882">
                  <c:v>-6.4651951393201825</c:v>
                </c:pt>
                <c:pt idx="883">
                  <c:v>-6.4763434955892087</c:v>
                </c:pt>
                <c:pt idx="884">
                  <c:v>-6.4874918508830985</c:v>
                </c:pt>
                <c:pt idx="885">
                  <c:v>-6.4986402052017604</c:v>
                </c:pt>
                <c:pt idx="886">
                  <c:v>-6.509788558545103</c:v>
                </c:pt>
                <c:pt idx="887">
                  <c:v>-6.5209369109130337</c:v>
                </c:pt>
                <c:pt idx="888">
                  <c:v>-6.5320852623054613</c:v>
                </c:pt>
                <c:pt idx="889">
                  <c:v>-6.5432336127222941</c:v>
                </c:pt>
                <c:pt idx="890">
                  <c:v>-6.5543819621634398</c:v>
                </c:pt>
                <c:pt idx="891">
                  <c:v>-6.565530310628807</c:v>
                </c:pt>
                <c:pt idx="892">
                  <c:v>-6.5766786581183041</c:v>
                </c:pt>
                <c:pt idx="893">
                  <c:v>-6.5878270046318397</c:v>
                </c:pt>
                <c:pt idx="894">
                  <c:v>-6.5989753501693214</c:v>
                </c:pt>
                <c:pt idx="895">
                  <c:v>-6.6101236947306576</c:v>
                </c:pt>
                <c:pt idx="896">
                  <c:v>-6.6212720383157571</c:v>
                </c:pt>
                <c:pt idx="897">
                  <c:v>-6.6324203809245272</c:v>
                </c:pt>
                <c:pt idx="898">
                  <c:v>-6.6435687225568767</c:v>
                </c:pt>
                <c:pt idx="899">
                  <c:v>-6.6547170632127139</c:v>
                </c:pt>
                <c:pt idx="900">
                  <c:v>-6.6658654028919475</c:v>
                </c:pt>
                <c:pt idx="901">
                  <c:v>-6.6770137415944859</c:v>
                </c:pt>
                <c:pt idx="902">
                  <c:v>-6.6881620793202368</c:v>
                </c:pt>
                <c:pt idx="903">
                  <c:v>-6.6993104160691086</c:v>
                </c:pt>
                <c:pt idx="904">
                  <c:v>-6.710458751841009</c:v>
                </c:pt>
                <c:pt idx="905">
                  <c:v>-6.7216070866358475</c:v>
                </c:pt>
                <c:pt idx="906">
                  <c:v>-6.7327554204535316</c:v>
                </c:pt>
                <c:pt idx="907">
                  <c:v>-6.7439037532939698</c:v>
                </c:pt>
                <c:pt idx="908">
                  <c:v>-6.7550520851570708</c:v>
                </c:pt>
                <c:pt idx="909">
                  <c:v>-6.766200416042742</c:v>
                </c:pt>
                <c:pt idx="910">
                  <c:v>-6.7773487459508921</c:v>
                </c:pt>
                <c:pt idx="911">
                  <c:v>-6.7884970748814295</c:v>
                </c:pt>
                <c:pt idx="912">
                  <c:v>-6.7996454028342628</c:v>
                </c:pt>
                <c:pt idx="913">
                  <c:v>-6.8107937298093004</c:v>
                </c:pt>
                <c:pt idx="914">
                  <c:v>-6.8219420558064501</c:v>
                </c:pt>
                <c:pt idx="915">
                  <c:v>-6.8330903808256203</c:v>
                </c:pt>
                <c:pt idx="916">
                  <c:v>-6.8442387048667195</c:v>
                </c:pt>
                <c:pt idx="917">
                  <c:v>-6.8553870279296554</c:v>
                </c:pt>
                <c:pt idx="918">
                  <c:v>-6.8665353500143373</c:v>
                </c:pt>
                <c:pt idx="919">
                  <c:v>-6.877683671120673</c:v>
                </c:pt>
                <c:pt idx="920">
                  <c:v>-6.8888319912485709</c:v>
                </c:pt>
                <c:pt idx="921">
                  <c:v>-6.8999803103979387</c:v>
                </c:pt>
                <c:pt idx="922">
                  <c:v>-6.9111286285686857</c:v>
                </c:pt>
                <c:pt idx="923">
                  <c:v>-6.9222769457607196</c:v>
                </c:pt>
                <c:pt idx="924">
                  <c:v>-6.9334252619739489</c:v>
                </c:pt>
                <c:pt idx="925">
                  <c:v>-6.9445735772082822</c:v>
                </c:pt>
                <c:pt idx="926">
                  <c:v>-6.955721891463627</c:v>
                </c:pt>
                <c:pt idx="927">
                  <c:v>-6.9668702047398927</c:v>
                </c:pt>
                <c:pt idx="928">
                  <c:v>-6.9780185170369871</c:v>
                </c:pt>
                <c:pt idx="929">
                  <c:v>-6.9891668283548185</c:v>
                </c:pt>
                <c:pt idx="930">
                  <c:v>-7.0003151386932947</c:v>
                </c:pt>
                <c:pt idx="931">
                  <c:v>-7.011463448052325</c:v>
                </c:pt>
                <c:pt idx="932">
                  <c:v>-7.0226117564318171</c:v>
                </c:pt>
                <c:pt idx="933">
                  <c:v>-7.0337600638316795</c:v>
                </c:pt>
                <c:pt idx="934">
                  <c:v>-7.0449083702518207</c:v>
                </c:pt>
                <c:pt idx="935">
                  <c:v>-7.0560566756921492</c:v>
                </c:pt>
                <c:pt idx="936">
                  <c:v>-7.0672049801525736</c:v>
                </c:pt>
                <c:pt idx="937">
                  <c:v>-7.0783532836330014</c:v>
                </c:pt>
                <c:pt idx="938">
                  <c:v>-7.0895015861333412</c:v>
                </c:pt>
                <c:pt idx="939">
                  <c:v>-7.1006498876535016</c:v>
                </c:pt>
                <c:pt idx="940">
                  <c:v>-7.1117981881933909</c:v>
                </c:pt>
                <c:pt idx="941">
                  <c:v>-7.1229464877529169</c:v>
                </c:pt>
                <c:pt idx="942">
                  <c:v>-7.134094786331989</c:v>
                </c:pt>
                <c:pt idx="943">
                  <c:v>-7.1452430839305148</c:v>
                </c:pt>
                <c:pt idx="944">
                  <c:v>-7.1563913805484027</c:v>
                </c:pt>
                <c:pt idx="945">
                  <c:v>-7.1675396761855614</c:v>
                </c:pt>
                <c:pt idx="946">
                  <c:v>-7.1786879708418985</c:v>
                </c:pt>
                <c:pt idx="947">
                  <c:v>-7.1898362645173233</c:v>
                </c:pt>
                <c:pt idx="948">
                  <c:v>-7.2009845572117435</c:v>
                </c:pt>
                <c:pt idx="949">
                  <c:v>-7.2121328489250676</c:v>
                </c:pt>
                <c:pt idx="950">
                  <c:v>-7.2232811396572041</c:v>
                </c:pt>
                <c:pt idx="951">
                  <c:v>-7.2344294294080616</c:v>
                </c:pt>
                <c:pt idx="952">
                  <c:v>-7.2455777181775476</c:v>
                </c:pt>
                <c:pt idx="953">
                  <c:v>-7.2567260059655716</c:v>
                </c:pt>
                <c:pt idx="954">
                  <c:v>-7.2678742927720412</c:v>
                </c:pt>
                <c:pt idx="955">
                  <c:v>-7.279022578596865</c:v>
                </c:pt>
                <c:pt idx="956">
                  <c:v>-7.2901708634399514</c:v>
                </c:pt>
                <c:pt idx="957">
                  <c:v>-7.3013191473012089</c:v>
                </c:pt>
                <c:pt idx="958">
                  <c:v>-7.3124674301805452</c:v>
                </c:pt>
                <c:pt idx="959">
                  <c:v>-7.3236157120778698</c:v>
                </c:pt>
                <c:pt idx="960">
                  <c:v>-7.3347639929930901</c:v>
                </c:pt>
                <c:pt idx="961">
                  <c:v>-7.3459122729261148</c:v>
                </c:pt>
                <c:pt idx="962">
                  <c:v>-7.3570605518768524</c:v>
                </c:pt>
                <c:pt idx="963">
                  <c:v>-7.3682088298452113</c:v>
                </c:pt>
                <c:pt idx="964">
                  <c:v>-7.3793571068310992</c:v>
                </c:pt>
                <c:pt idx="965">
                  <c:v>-7.3905053828344256</c:v>
                </c:pt>
                <c:pt idx="966">
                  <c:v>-7.401653657855098</c:v>
                </c:pt>
                <c:pt idx="967">
                  <c:v>-7.4128019318930258</c:v>
                </c:pt>
                <c:pt idx="968">
                  <c:v>-7.4239502049481167</c:v>
                </c:pt>
                <c:pt idx="969">
                  <c:v>-7.4350984770202793</c:v>
                </c:pt>
                <c:pt idx="970">
                  <c:v>-7.446246748109421</c:v>
                </c:pt>
                <c:pt idx="971">
                  <c:v>-7.4573950182154514</c:v>
                </c:pt>
                <c:pt idx="972">
                  <c:v>-7.4685432873382789</c:v>
                </c:pt>
                <c:pt idx="973">
                  <c:v>-7.4796915554778112</c:v>
                </c:pt>
                <c:pt idx="974">
                  <c:v>-7.4908398226339568</c:v>
                </c:pt>
                <c:pt idx="975">
                  <c:v>-7.5019880888066242</c:v>
                </c:pt>
                <c:pt idx="976">
                  <c:v>-7.5131363539957219</c:v>
                </c:pt>
                <c:pt idx="977">
                  <c:v>-7.5242846182011585</c:v>
                </c:pt>
                <c:pt idx="978">
                  <c:v>-7.5354328814228424</c:v>
                </c:pt>
                <c:pt idx="979">
                  <c:v>-7.5465811436606822</c:v>
                </c:pt>
                <c:pt idx="980">
                  <c:v>-7.5577294049145856</c:v>
                </c:pt>
                <c:pt idx="981">
                  <c:v>-7.5688776651844618</c:v>
                </c:pt>
                <c:pt idx="982">
                  <c:v>-7.5800259244702186</c:v>
                </c:pt>
                <c:pt idx="983">
                  <c:v>-7.5911741827717645</c:v>
                </c:pt>
                <c:pt idx="984">
                  <c:v>-7.6023224400890079</c:v>
                </c:pt>
                <c:pt idx="985">
                  <c:v>-7.6134706964218575</c:v>
                </c:pt>
                <c:pt idx="986">
                  <c:v>-7.6246189517702216</c:v>
                </c:pt>
                <c:pt idx="987">
                  <c:v>-7.6357672061340081</c:v>
                </c:pt>
                <c:pt idx="988">
                  <c:v>-7.6469154595131261</c:v>
                </c:pt>
                <c:pt idx="989">
                  <c:v>-7.6580637119074844</c:v>
                </c:pt>
                <c:pt idx="990">
                  <c:v>-7.6692119633169904</c:v>
                </c:pt>
                <c:pt idx="991">
                  <c:v>-7.6803602137415528</c:v>
                </c:pt>
                <c:pt idx="992">
                  <c:v>-7.6915084631810799</c:v>
                </c:pt>
                <c:pt idx="993">
                  <c:v>-7.7026567116354805</c:v>
                </c:pt>
                <c:pt idx="994">
                  <c:v>-7.7138049591046629</c:v>
                </c:pt>
                <c:pt idx="995">
                  <c:v>-7.7249532055885357</c:v>
                </c:pt>
                <c:pt idx="996">
                  <c:v>-7.7361014510870074</c:v>
                </c:pt>
                <c:pt idx="997">
                  <c:v>-7.7472496955999866</c:v>
                </c:pt>
                <c:pt idx="998">
                  <c:v>-7.7583979391273807</c:v>
                </c:pt>
                <c:pt idx="999">
                  <c:v>-7.7695461816690994</c:v>
                </c:pt>
                <c:pt idx="1000">
                  <c:v>-7.7806944232250501</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Barasinga (Pro54-5G C)</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0.05</c:v>
                </c:pt>
                <c:pt idx="2">
                  <c:v>0.5</c:v>
                </c:pt>
                <c:pt idx="3">
                  <c:v>1</c:v>
                </c:pt>
                <c:pt idx="4">
                  <c:v>1.5</c:v>
                </c:pt>
                <c:pt idx="5">
                  <c:v>2</c:v>
                </c:pt>
                <c:pt idx="6">
                  <c:v>2.5</c:v>
                </c:pt>
                <c:pt idx="7">
                  <c:v>2.97</c:v>
                </c:pt>
                <c:pt idx="8">
                  <c:v>3.2</c:v>
                </c:pt>
                <c:pt idx="9">
                  <c:v>3.47</c:v>
                </c:pt>
                <c:pt idx="10">
                  <c:v>3.59</c:v>
                </c:pt>
                <c:pt idx="11">
                  <c:v>3.59</c:v>
                </c:pt>
                <c:pt idx="12">
                  <c:v>3.59</c:v>
                </c:pt>
                <c:pt idx="13">
                  <c:v>3.59</c:v>
                </c:pt>
                <c:pt idx="14">
                  <c:v>3.59</c:v>
                </c:pt>
                <c:pt idx="15">
                  <c:v>3.59</c:v>
                </c:pt>
                <c:pt idx="16">
                  <c:v>3.59</c:v>
                </c:pt>
                <c:pt idx="17">
                  <c:v>3.59</c:v>
                </c:pt>
                <c:pt idx="18">
                  <c:v>3.59</c:v>
                </c:pt>
                <c:pt idx="19">
                  <c:v>3.59</c:v>
                </c:pt>
                <c:pt idx="20">
                  <c:v>3.59</c:v>
                </c:pt>
                <c:pt idx="21">
                  <c:v>3.59</c:v>
                </c:pt>
                <c:pt idx="22">
                  <c:v>3.59</c:v>
                </c:pt>
              </c:numCache>
            </c:numRef>
          </c:xVal>
          <c:yVal>
            <c:numRef>
              <c:f>Propu!$B$4:$X$4</c:f>
              <c:numCache>
                <c:formatCode>General</c:formatCode>
                <c:ptCount val="23"/>
                <c:pt idx="0">
                  <c:v>0</c:v>
                </c:pt>
                <c:pt idx="1">
                  <c:v>893</c:v>
                </c:pt>
                <c:pt idx="2">
                  <c:v>798</c:v>
                </c:pt>
                <c:pt idx="3">
                  <c:v>739</c:v>
                </c:pt>
                <c:pt idx="4">
                  <c:v>659</c:v>
                </c:pt>
                <c:pt idx="5">
                  <c:v>586</c:v>
                </c:pt>
                <c:pt idx="6">
                  <c:v>513</c:v>
                </c:pt>
                <c:pt idx="7">
                  <c:v>417</c:v>
                </c:pt>
                <c:pt idx="8">
                  <c:v>225</c:v>
                </c:pt>
                <c:pt idx="9">
                  <c:v>67</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2.7702499999999999</c:v>
                </c:pt>
                <c:pt idx="2">
                  <c:v>3.8555000000000001</c:v>
                </c:pt>
                <c:pt idx="3">
                  <c:v>4.9407499999999995</c:v>
                </c:pt>
                <c:pt idx="4">
                  <c:v>6.0259999999999998</c:v>
                </c:pt>
                <c:pt idx="5">
                  <c:v>7.1112500000000001</c:v>
                </c:pt>
                <c:pt idx="6">
                  <c:v>8.1965000000000003</c:v>
                </c:pt>
                <c:pt idx="7">
                  <c:v>9.2817500000000006</c:v>
                </c:pt>
                <c:pt idx="8">
                  <c:v>10.367000000000001</c:v>
                </c:pt>
              </c:numCache>
            </c:numRef>
          </c:xVal>
          <c:yVal>
            <c:numRef>
              <c:f>Abaco!$K$43:$K$51</c:f>
              <c:numCache>
                <c:formatCode>General" m/s"</c:formatCode>
                <c:ptCount val="9"/>
                <c:pt idx="0">
                  <c:v>793.5341125462329</c:v>
                </c:pt>
                <c:pt idx="1">
                  <c:v>643.4297643109295</c:v>
                </c:pt>
                <c:pt idx="2">
                  <c:v>497.01480008070428</c:v>
                </c:pt>
                <c:pt idx="3">
                  <c:v>392.35118185281385</c:v>
                </c:pt>
                <c:pt idx="4">
                  <c:v>318.89871499964164</c:v>
                </c:pt>
                <c:pt idx="5">
                  <c:v>265.75952252832701</c:v>
                </c:pt>
                <c:pt idx="6">
                  <c:v>225.94273386491108</c:v>
                </c:pt>
                <c:pt idx="7">
                  <c:v>195.15913715313931</c:v>
                </c:pt>
                <c:pt idx="8">
                  <c:v>170.72098541815038</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104 mm</c:v>
                </c:pt>
              </c:strCache>
            </c:strRef>
          </c:tx>
          <c:xVal>
            <c:numRef>
              <c:f>Abaco!$D$52:$D$60</c:f>
              <c:numCache>
                <c:formatCode>General\ "kg"</c:formatCode>
                <c:ptCount val="9"/>
                <c:pt idx="0">
                  <c:v>1.6850000000000001</c:v>
                </c:pt>
                <c:pt idx="1">
                  <c:v>2.7702499999999999</c:v>
                </c:pt>
                <c:pt idx="2">
                  <c:v>3.8555000000000001</c:v>
                </c:pt>
                <c:pt idx="3">
                  <c:v>4.9407499999999995</c:v>
                </c:pt>
                <c:pt idx="4">
                  <c:v>6.0259999999999998</c:v>
                </c:pt>
                <c:pt idx="5">
                  <c:v>7.1112500000000001</c:v>
                </c:pt>
                <c:pt idx="6">
                  <c:v>8.1965000000000003</c:v>
                </c:pt>
                <c:pt idx="7">
                  <c:v>9.2817500000000006</c:v>
                </c:pt>
                <c:pt idx="8">
                  <c:v>10.367000000000001</c:v>
                </c:pt>
              </c:numCache>
            </c:numRef>
          </c:xVal>
          <c:yVal>
            <c:numRef>
              <c:f>Abaco!$K$52:$K$60</c:f>
              <c:numCache>
                <c:formatCode>General" m/s"</c:formatCode>
                <c:ptCount val="9"/>
                <c:pt idx="0">
                  <c:v>424.00255764491766</c:v>
                </c:pt>
                <c:pt idx="1">
                  <c:v>407.53948150889693</c:v>
                </c:pt>
                <c:pt idx="2">
                  <c:v>368.13418330906143</c:v>
                </c:pt>
                <c:pt idx="3">
                  <c:v>321.10603155859468</c:v>
                </c:pt>
                <c:pt idx="4">
                  <c:v>277.46418837217715</c:v>
                </c:pt>
                <c:pt idx="5">
                  <c:v>240.33690028860642</c:v>
                </c:pt>
                <c:pt idx="6">
                  <c:v>209.5858470507894</c:v>
                </c:pt>
                <c:pt idx="7">
                  <c:v>184.2037950062265</c:v>
                </c:pt>
                <c:pt idx="8">
                  <c:v>163.13286966382839</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156 mm</c:v>
                </c:pt>
              </c:strCache>
            </c:strRef>
          </c:tx>
          <c:xVal>
            <c:numRef>
              <c:f>Abaco!$D$61:$D$69</c:f>
              <c:numCache>
                <c:formatCode>General\ "kg"</c:formatCode>
                <c:ptCount val="9"/>
                <c:pt idx="0">
                  <c:v>1.6850000000000001</c:v>
                </c:pt>
                <c:pt idx="1">
                  <c:v>2.7702499999999999</c:v>
                </c:pt>
                <c:pt idx="2">
                  <c:v>3.8555000000000001</c:v>
                </c:pt>
                <c:pt idx="3">
                  <c:v>4.9407499999999995</c:v>
                </c:pt>
                <c:pt idx="4">
                  <c:v>6.0259999999999998</c:v>
                </c:pt>
                <c:pt idx="5">
                  <c:v>7.1112500000000001</c:v>
                </c:pt>
                <c:pt idx="6">
                  <c:v>8.1965000000000003</c:v>
                </c:pt>
                <c:pt idx="7">
                  <c:v>9.2817500000000006</c:v>
                </c:pt>
                <c:pt idx="8">
                  <c:v>10.367000000000001</c:v>
                </c:pt>
              </c:numCache>
            </c:numRef>
          </c:xVal>
          <c:yVal>
            <c:numRef>
              <c:f>Abaco!$K$61:$K$69</c:f>
              <c:numCache>
                <c:formatCode>General" m/s"</c:formatCode>
                <c:ptCount val="9"/>
                <c:pt idx="0">
                  <c:v>282.83075487995666</c:v>
                </c:pt>
                <c:pt idx="1">
                  <c:v>279.08201425582189</c:v>
                </c:pt>
                <c:pt idx="2">
                  <c:v>269.14709722114554</c:v>
                </c:pt>
                <c:pt idx="3">
                  <c:v>251.6925416803345</c:v>
                </c:pt>
                <c:pt idx="4">
                  <c:v>230.23114608478488</c:v>
                </c:pt>
                <c:pt idx="5">
                  <c:v>208.15216035574045</c:v>
                </c:pt>
                <c:pt idx="6">
                  <c:v>187.33500629102403</c:v>
                </c:pt>
                <c:pt idx="7">
                  <c:v>168.5261740856111</c:v>
                </c:pt>
                <c:pt idx="8">
                  <c:v>151.86794356802662</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2.7702499999999999</c:v>
                </c:pt>
                <c:pt idx="2">
                  <c:v>3.8555000000000001</c:v>
                </c:pt>
                <c:pt idx="3">
                  <c:v>4.9407499999999995</c:v>
                </c:pt>
                <c:pt idx="4">
                  <c:v>6.0259999999999998</c:v>
                </c:pt>
                <c:pt idx="5">
                  <c:v>7.1112500000000001</c:v>
                </c:pt>
                <c:pt idx="6">
                  <c:v>8.1965000000000003</c:v>
                </c:pt>
                <c:pt idx="7">
                  <c:v>9.2817500000000006</c:v>
                </c:pt>
                <c:pt idx="8">
                  <c:v>10.367000000000001</c:v>
                </c:pt>
              </c:numCache>
            </c:numRef>
          </c:xVal>
          <c:yVal>
            <c:numRef>
              <c:f>Abaco!$L$43:$L$51</c:f>
              <c:numCache>
                <c:formatCode>General" m"</c:formatCode>
                <c:ptCount val="9"/>
                <c:pt idx="0">
                  <c:v>3706.6765556662222</c:v>
                </c:pt>
                <c:pt idx="1">
                  <c:v>4502.5650133826985</c:v>
                </c:pt>
                <c:pt idx="2">
                  <c:v>4553.0473221031898</c:v>
                </c:pt>
                <c:pt idx="3">
                  <c:v>4165.6388881891562</c:v>
                </c:pt>
                <c:pt idx="4">
                  <c:v>3587.3515743847634</c:v>
                </c:pt>
                <c:pt idx="5">
                  <c:v>2984.2056540763497</c:v>
                </c:pt>
                <c:pt idx="6">
                  <c:v>2442.05063508084</c:v>
                </c:pt>
                <c:pt idx="7">
                  <c:v>1989.5832544404213</c:v>
                </c:pt>
                <c:pt idx="8">
                  <c:v>1625.311636412684</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104 mm</c:v>
                </c:pt>
              </c:strCache>
            </c:strRef>
          </c:tx>
          <c:xVal>
            <c:numRef>
              <c:f>Abaco!$D$52:$D$60</c:f>
              <c:numCache>
                <c:formatCode>General\ "kg"</c:formatCode>
                <c:ptCount val="9"/>
                <c:pt idx="0">
                  <c:v>1.6850000000000001</c:v>
                </c:pt>
                <c:pt idx="1">
                  <c:v>2.7702499999999999</c:v>
                </c:pt>
                <c:pt idx="2">
                  <c:v>3.8555000000000001</c:v>
                </c:pt>
                <c:pt idx="3">
                  <c:v>4.9407499999999995</c:v>
                </c:pt>
                <c:pt idx="4">
                  <c:v>6.0259999999999998</c:v>
                </c:pt>
                <c:pt idx="5">
                  <c:v>7.1112500000000001</c:v>
                </c:pt>
                <c:pt idx="6">
                  <c:v>8.1965000000000003</c:v>
                </c:pt>
                <c:pt idx="7">
                  <c:v>9.2817500000000006</c:v>
                </c:pt>
                <c:pt idx="8">
                  <c:v>10.367000000000001</c:v>
                </c:pt>
              </c:numCache>
            </c:numRef>
          </c:xVal>
          <c:yVal>
            <c:numRef>
              <c:f>Abaco!$L$52:$L$60</c:f>
              <c:numCache>
                <c:formatCode>General" m"</c:formatCode>
                <c:ptCount val="9"/>
                <c:pt idx="0">
                  <c:v>1732.1543650816982</c:v>
                </c:pt>
                <c:pt idx="1">
                  <c:v>1978.3831355060081</c:v>
                </c:pt>
                <c:pt idx="2">
                  <c:v>2077.3019652331041</c:v>
                </c:pt>
                <c:pt idx="3">
                  <c:v>2064.6664110424081</c:v>
                </c:pt>
                <c:pt idx="4">
                  <c:v>1968.6392481689463</c:v>
                </c:pt>
                <c:pt idx="5">
                  <c:v>1817.765247467489</c:v>
                </c:pt>
                <c:pt idx="6">
                  <c:v>1637.8651866255886</c:v>
                </c:pt>
                <c:pt idx="7">
                  <c:v>1449.5922175821752</c:v>
                </c:pt>
                <c:pt idx="8">
                  <c:v>1267.3859982115696</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156 mm</c:v>
                </c:pt>
              </c:strCache>
            </c:strRef>
          </c:tx>
          <c:xVal>
            <c:numRef>
              <c:f>Abaco!$D$61:$D$69</c:f>
              <c:numCache>
                <c:formatCode>General\ "kg"</c:formatCode>
                <c:ptCount val="9"/>
                <c:pt idx="0">
                  <c:v>1.6850000000000001</c:v>
                </c:pt>
                <c:pt idx="1">
                  <c:v>2.7702499999999999</c:v>
                </c:pt>
                <c:pt idx="2">
                  <c:v>3.8555000000000001</c:v>
                </c:pt>
                <c:pt idx="3">
                  <c:v>4.9407499999999995</c:v>
                </c:pt>
                <c:pt idx="4">
                  <c:v>6.0259999999999998</c:v>
                </c:pt>
                <c:pt idx="5">
                  <c:v>7.1112500000000001</c:v>
                </c:pt>
                <c:pt idx="6">
                  <c:v>8.1965000000000003</c:v>
                </c:pt>
                <c:pt idx="7">
                  <c:v>9.2817500000000006</c:v>
                </c:pt>
                <c:pt idx="8">
                  <c:v>10.367000000000001</c:v>
                </c:pt>
              </c:numCache>
            </c:numRef>
          </c:xVal>
          <c:yVal>
            <c:numRef>
              <c:f>Abaco!$L$61:$L$69</c:f>
              <c:numCache>
                <c:formatCode>General" m"</c:formatCode>
                <c:ptCount val="9"/>
                <c:pt idx="0">
                  <c:v>1108.3088472586128</c:v>
                </c:pt>
                <c:pt idx="1">
                  <c:v>1216.6801205533463</c:v>
                </c:pt>
                <c:pt idx="2">
                  <c:v>1269.1218274870685</c:v>
                </c:pt>
                <c:pt idx="3">
                  <c:v>1281.3781654966656</c:v>
                </c:pt>
                <c:pt idx="4">
                  <c:v>1259.8219671329907</c:v>
                </c:pt>
                <c:pt idx="5">
                  <c:v>1210.8204888306473</c:v>
                </c:pt>
                <c:pt idx="6">
                  <c:v>1141.3095528181052</c:v>
                </c:pt>
                <c:pt idx="7">
                  <c:v>1058.2285153770229</c:v>
                </c:pt>
                <c:pt idx="8">
                  <c:v>967.93160410469068</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2.7702499999999999</c:v>
                </c:pt>
                <c:pt idx="2">
                  <c:v>3.8555000000000001</c:v>
                </c:pt>
                <c:pt idx="3">
                  <c:v>4.9407499999999995</c:v>
                </c:pt>
                <c:pt idx="4">
                  <c:v>6.0259999999999998</c:v>
                </c:pt>
                <c:pt idx="5">
                  <c:v>7.1112500000000001</c:v>
                </c:pt>
                <c:pt idx="6">
                  <c:v>8.1965000000000003</c:v>
                </c:pt>
                <c:pt idx="7">
                  <c:v>9.2817500000000006</c:v>
                </c:pt>
                <c:pt idx="8">
                  <c:v>10.367000000000001</c:v>
                </c:pt>
              </c:numCache>
            </c:numRef>
          </c:xVal>
          <c:yVal>
            <c:numRef>
              <c:f>Abaco!$M$43:$M$51</c:f>
              <c:numCache>
                <c:formatCode>General" s"</c:formatCode>
                <c:ptCount val="9"/>
                <c:pt idx="0">
                  <c:v>16.576277929342474</c:v>
                </c:pt>
                <c:pt idx="1">
                  <c:v>23.217881929199294</c:v>
                </c:pt>
                <c:pt idx="2">
                  <c:v>26.162925904765032</c:v>
                </c:pt>
                <c:pt idx="3">
                  <c:v>26.924830464162451</c:v>
                </c:pt>
                <c:pt idx="4">
                  <c:v>26.291654561394136</c:v>
                </c:pt>
                <c:pt idx="5">
                  <c:v>24.878844258381211</c:v>
                </c:pt>
                <c:pt idx="6">
                  <c:v>23.137180135569562</c:v>
                </c:pt>
                <c:pt idx="7">
                  <c:v>21.345852561782305</c:v>
                </c:pt>
                <c:pt idx="8">
                  <c:v>19.648866015797001</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104 mm</c:v>
                </c:pt>
              </c:strCache>
            </c:strRef>
          </c:tx>
          <c:xVal>
            <c:numRef>
              <c:f>Abaco!$D$52:$D$60</c:f>
              <c:numCache>
                <c:formatCode>General\ "kg"</c:formatCode>
                <c:ptCount val="9"/>
                <c:pt idx="0">
                  <c:v>1.6850000000000001</c:v>
                </c:pt>
                <c:pt idx="1">
                  <c:v>2.7702499999999999</c:v>
                </c:pt>
                <c:pt idx="2">
                  <c:v>3.8555000000000001</c:v>
                </c:pt>
                <c:pt idx="3">
                  <c:v>4.9407499999999995</c:v>
                </c:pt>
                <c:pt idx="4">
                  <c:v>6.0259999999999998</c:v>
                </c:pt>
                <c:pt idx="5">
                  <c:v>7.1112500000000001</c:v>
                </c:pt>
                <c:pt idx="6">
                  <c:v>8.1965000000000003</c:v>
                </c:pt>
                <c:pt idx="7">
                  <c:v>9.2817500000000006</c:v>
                </c:pt>
                <c:pt idx="8">
                  <c:v>10.367000000000001</c:v>
                </c:pt>
              </c:numCache>
            </c:numRef>
          </c:xVal>
          <c:yVal>
            <c:numRef>
              <c:f>Abaco!$M$52:$M$60</c:f>
              <c:numCache>
                <c:formatCode>General" s"</c:formatCode>
                <c:ptCount val="9"/>
                <c:pt idx="0">
                  <c:v>10.347025133070924</c:v>
                </c:pt>
                <c:pt idx="1">
                  <c:v>14.069889233030292</c:v>
                </c:pt>
                <c:pt idx="2">
                  <c:v>16.265441084335613</c:v>
                </c:pt>
                <c:pt idx="3">
                  <c:v>17.579952858954542</c:v>
                </c:pt>
                <c:pt idx="4">
                  <c:v>18.232186794961841</c:v>
                </c:pt>
                <c:pt idx="5">
                  <c:v>18.367325686521049</c:v>
                </c:pt>
                <c:pt idx="6">
                  <c:v>18.111733072803059</c:v>
                </c:pt>
                <c:pt idx="7">
                  <c:v>17.581267239251943</c:v>
                </c:pt>
                <c:pt idx="8">
                  <c:v>16.87708978266248</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156 mm</c:v>
                </c:pt>
              </c:strCache>
            </c:strRef>
          </c:tx>
          <c:xVal>
            <c:numRef>
              <c:f>Abaco!$D$61:$D$69</c:f>
              <c:numCache>
                <c:formatCode>General\ "kg"</c:formatCode>
                <c:ptCount val="9"/>
                <c:pt idx="0">
                  <c:v>1.6850000000000001</c:v>
                </c:pt>
                <c:pt idx="1">
                  <c:v>2.7702499999999999</c:v>
                </c:pt>
                <c:pt idx="2">
                  <c:v>3.8555000000000001</c:v>
                </c:pt>
                <c:pt idx="3">
                  <c:v>4.9407499999999995</c:v>
                </c:pt>
                <c:pt idx="4">
                  <c:v>6.0259999999999998</c:v>
                </c:pt>
                <c:pt idx="5">
                  <c:v>7.1112500000000001</c:v>
                </c:pt>
                <c:pt idx="6">
                  <c:v>8.1965000000000003</c:v>
                </c:pt>
                <c:pt idx="7">
                  <c:v>9.2817500000000006</c:v>
                </c:pt>
                <c:pt idx="8">
                  <c:v>10.367000000000001</c:v>
                </c:pt>
              </c:numCache>
            </c:numRef>
          </c:xVal>
          <c:yVal>
            <c:numRef>
              <c:f>Abaco!$M$61:$M$69</c:f>
              <c:numCache>
                <c:formatCode>General" s"</c:formatCode>
                <c:ptCount val="9"/>
                <c:pt idx="0">
                  <c:v>8.0948698322266992</c:v>
                </c:pt>
                <c:pt idx="1">
                  <c:v>10.599946796779745</c:v>
                </c:pt>
                <c:pt idx="2">
                  <c:v>12.176466031020142</c:v>
                </c:pt>
                <c:pt idx="3">
                  <c:v>13.269106340341512</c:v>
                </c:pt>
                <c:pt idx="4">
                  <c:v>13.999281303560311</c:v>
                </c:pt>
                <c:pt idx="5">
                  <c:v>14.429127750378928</c:v>
                </c:pt>
                <c:pt idx="6">
                  <c:v>14.605543868165235</c:v>
                </c:pt>
                <c:pt idx="7">
                  <c:v>14.571526199137885</c:v>
                </c:pt>
                <c:pt idx="8">
                  <c:v>14.369010368485604</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file>

<file path=xl/ctrlProps/ctrlProp2.xml><?xml version="1.0" encoding="utf-8"?>
<formControlPr xmlns="http://schemas.microsoft.com/office/spreadsheetml/2009/9/main" objectType="Spin" dx="15" fmlaLink="$C$12" inc="100" max="30000" noThreeD="1" page="10" val="4341"/>
</file>

<file path=xl/ctrlProps/ctrlProp3.xml><?xml version="1.0" encoding="utf-8"?>
<formControlPr xmlns="http://schemas.microsoft.com/office/spreadsheetml/2009/9/main" objectType="Spin" dx="15" fmlaLink="$C$13" inc="50" max="30000" noThreeD="1" page="10" val="493"/>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21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85"/>
</file>

<file path=xl/ctrlProps/ctrlProp8.xml><?xml version="1.0" encoding="utf-8"?>
<formControlPr xmlns="http://schemas.microsoft.com/office/spreadsheetml/2009/9/main" objectType="Spin" dx="15" fmlaLink="$C$31" inc="10" max="30000" noThreeD="1" page="10" val="145"/>
</file>

<file path=xl/ctrlProps/ctrlProp9.xml><?xml version="1.0" encoding="utf-8"?>
<formControlPr xmlns="http://schemas.microsoft.com/office/spreadsheetml/2009/9/main" objectType="Spin" dx="15" fmlaLink="$C$32" max="30000" noThreeD="1" page="10" val="4"/>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1120"/>
</file>

<file path=xl/ctrlProps/ctrlProp12.xml><?xml version="1.0" encoding="utf-8"?>
<formControlPr xmlns="http://schemas.microsoft.com/office/spreadsheetml/2009/9/main" objectType="Spin" dx="15" fmlaLink="$C$12" inc="100" max="30000" noThreeD="1" page="10" val="4341"/>
</file>

<file path=xl/ctrlProps/ctrlProp13.xml><?xml version="1.0" encoding="utf-8"?>
<formControlPr xmlns="http://schemas.microsoft.com/office/spreadsheetml/2009/9/main" objectType="Spin" dx="15" fmlaLink="$C$12" inc="100" max="30000" noThreeD="1" page="10" val="4341"/>
</file>

<file path=xl/ctrlProps/ctrlProp14.xml><?xml version="1.0" encoding="utf-8"?>
<formControlPr xmlns="http://schemas.microsoft.com/office/spreadsheetml/2009/9/main" objectType="Spin" dx="15" fmlaLink="Stabilito!C12" inc="100" max="30000" noThreeD="1" page="10" val="4341"/>
</file>

<file path=xl/ctrlProps/ctrlProp15.xml><?xml version="1.0" encoding="utf-8"?>
<formControlPr xmlns="http://schemas.microsoft.com/office/spreadsheetml/2009/9/main" objectType="Spin" dx="15" fmlaLink="$B$44" inc="50" max="30000" noThreeD="1" page="10" val="310"/>
</file>

<file path=xl/ctrlProps/ctrlProp16.xml><?xml version="1.0" encoding="utf-8"?>
<formControlPr xmlns="http://schemas.microsoft.com/office/spreadsheetml/2009/9/main" objectType="Spin" dx="15" fmlaLink="$B$46" inc="50" max="30000" noThreeD="1" page="10" val="31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4341"/>
</file>

<file path=xl/ctrlProps/ctrlProp20.xml><?xml version="1.0" encoding="utf-8"?>
<formControlPr xmlns="http://schemas.microsoft.com/office/spreadsheetml/2009/9/main" objectType="Spin" dx="15" fmlaLink="Stabilito!C12" inc="100" max="30000" noThreeD="1" page="10" val="4341"/>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72074" y="19105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abSelected="1" zoomScale="115" zoomScaleNormal="115" zoomScaleSheetLayoutView="100" workbookViewId="0">
      <selection activeCell="E34" sqref="E34"/>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58" t="s">
        <v>53</v>
      </c>
      <c r="D2" s="558"/>
      <c r="L2" s="147" t="str">
        <f>"Language/Langue"</f>
        <v>Language/Langue</v>
      </c>
      <c r="M2" s="583" t="s">
        <v>1</v>
      </c>
      <c r="N2" s="583"/>
      <c r="O2" s="583"/>
      <c r="P2" s="584"/>
      <c r="Q2" s="27"/>
    </row>
    <row r="3" spans="1:20" ht="12.75" customHeight="1" x14ac:dyDescent="0.2">
      <c r="A3" s="25"/>
      <c r="C3" s="558"/>
      <c r="D3" s="558"/>
      <c r="L3" s="591"/>
      <c r="M3" s="591"/>
      <c r="N3" s="45"/>
      <c r="Q3" s="27"/>
    </row>
    <row r="4" spans="1:20" ht="12.75" customHeight="1" x14ac:dyDescent="0.2">
      <c r="A4" s="25"/>
      <c r="C4" s="559" t="str">
        <f>IF(Lang="Français","Stabilité de fusée à ailerons",IF(Lang="English","Stability for rocket with fins",""))</f>
        <v>Stabilité de fusée à ailerons</v>
      </c>
      <c r="D4" s="559"/>
      <c r="L4" s="33"/>
      <c r="M4" s="583" t="s">
        <v>570</v>
      </c>
      <c r="N4" s="583"/>
      <c r="O4" s="583"/>
      <c r="P4" s="584"/>
      <c r="Q4" s="27"/>
    </row>
    <row r="5" spans="1:20" ht="12.75" customHeight="1" x14ac:dyDescent="0.25">
      <c r="A5" s="25"/>
      <c r="B5" s="28"/>
      <c r="C5" s="540"/>
      <c r="D5" s="540"/>
      <c r="L5" s="33"/>
      <c r="M5" s="565" t="s">
        <v>156</v>
      </c>
      <c r="N5" s="566"/>
      <c r="O5" s="594" t="s">
        <v>157</v>
      </c>
      <c r="P5" s="594"/>
      <c r="Q5" s="29"/>
    </row>
    <row r="6" spans="1:20" ht="12.75" customHeight="1" thickBot="1" x14ac:dyDescent="0.25">
      <c r="A6" s="25"/>
      <c r="B6" s="87"/>
      <c r="C6" s="553" t="str">
        <f>IF(Lang="Français","Remplir les cases jaunes",IF(Lang="English","Fill-in yellow cells only",""))</f>
        <v>Remplir les cases jaunes</v>
      </c>
      <c r="D6" s="553"/>
      <c r="L6" s="139" t="str">
        <f>IF(Lang="Français","Longueur      'L'",IF(Lang="English","Length      'L'",""))</f>
        <v>Longueur      'L'</v>
      </c>
      <c r="M6" s="554">
        <v>60</v>
      </c>
      <c r="N6" s="555"/>
      <c r="O6" s="575">
        <v>50</v>
      </c>
      <c r="P6" s="575"/>
      <c r="Q6" s="29"/>
    </row>
    <row r="7" spans="1:20" ht="12.75" customHeight="1" thickTop="1" thickBot="1" x14ac:dyDescent="0.25">
      <c r="A7" s="25"/>
      <c r="B7" s="31"/>
      <c r="C7" s="561" t="str">
        <f>IF(Lang="Français","Fusée",IF(Lang="English","Rocket",""))</f>
        <v>Fusée</v>
      </c>
      <c r="D7" s="562"/>
      <c r="L7" s="139" t="str">
        <f>IF(Lang="Français","Diamètre     'D1'",IF(Lang="English","Diameter 'D1'",""))</f>
        <v>Diamètre     'D1'</v>
      </c>
      <c r="M7" s="554">
        <v>84</v>
      </c>
      <c r="N7" s="555"/>
      <c r="O7" s="575">
        <v>104</v>
      </c>
      <c r="P7" s="575"/>
      <c r="Q7" s="29"/>
    </row>
    <row r="8" spans="1:20" ht="12.75" customHeight="1" thickTop="1" x14ac:dyDescent="0.2">
      <c r="A8" s="25"/>
      <c r="B8" s="138" t="str">
        <f>IF(Lang="Français","Nom",IF(Lang="English","Name",""))</f>
        <v>Nom</v>
      </c>
      <c r="C8" s="556" t="s">
        <v>571</v>
      </c>
      <c r="D8" s="556"/>
      <c r="E8" s="90"/>
      <c r="K8" s="33"/>
      <c r="L8" s="139" t="str">
        <f>IF(Lang="Français","Diamètre     'D2'",IF(Lang="English","Diameter 'D2'",""))</f>
        <v>Diamètre     'D2'</v>
      </c>
      <c r="M8" s="554">
        <v>104</v>
      </c>
      <c r="N8" s="555"/>
      <c r="O8" s="575">
        <v>84</v>
      </c>
      <c r="P8" s="575"/>
      <c r="Q8" s="29"/>
    </row>
    <row r="9" spans="1:20" ht="12.75" customHeight="1" x14ac:dyDescent="0.2">
      <c r="A9" s="25"/>
      <c r="B9" s="138" t="s">
        <v>4</v>
      </c>
      <c r="C9" s="557" t="s">
        <v>568</v>
      </c>
      <c r="D9" s="557"/>
      <c r="E9" s="90"/>
      <c r="K9" s="33"/>
      <c r="L9" s="139" t="str">
        <f>IF(Lang="Français","Implantation 'x'",IF(Lang="English","Basement 'x'",""))</f>
        <v>Implantation 'x'</v>
      </c>
      <c r="M9" s="554">
        <v>1</v>
      </c>
      <c r="N9" s="555"/>
      <c r="O9" s="575">
        <v>1070</v>
      </c>
      <c r="P9" s="575"/>
      <c r="Q9" s="29"/>
    </row>
    <row r="10" spans="1:20" ht="12.75" customHeight="1" x14ac:dyDescent="0.2">
      <c r="A10" s="25"/>
      <c r="B10" s="138" t="s">
        <v>562</v>
      </c>
      <c r="C10" s="537" t="str">
        <f>IF((LEFT(Type_fusee,4)="Mini"),"MF",(IF((RIGHT(Type_fusee,1)="."),"FX","")))</f>
        <v>FX</v>
      </c>
      <c r="D10" s="538">
        <v>0</v>
      </c>
      <c r="E10" s="539" t="str">
        <f>IF(C10="","",C10&amp;D10)</f>
        <v>FX0</v>
      </c>
      <c r="K10" s="33"/>
      <c r="Q10" s="29"/>
    </row>
    <row r="11" spans="1:20" ht="12.75" customHeight="1" x14ac:dyDescent="0.2">
      <c r="A11" s="25"/>
      <c r="B11" s="139" t="s">
        <v>54</v>
      </c>
      <c r="C11" s="563" t="s">
        <v>567</v>
      </c>
      <c r="D11" s="564"/>
      <c r="E11" s="90"/>
      <c r="K11" s="33"/>
      <c r="L11" s="107"/>
      <c r="M11" s="224" t="str">
        <f>IF(Lang="Français","Propu plein",IF(Lang="English","Loaded Motor",""))</f>
        <v>Propu plein</v>
      </c>
      <c r="N11" s="592" t="str">
        <f>IF(Lang="Français","Propu vide",IF(Lang="English","Empty Motor",""))</f>
        <v>Propu vide</v>
      </c>
      <c r="O11" s="593"/>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4341</v>
      </c>
      <c r="D12" s="34" t="s">
        <v>572</v>
      </c>
      <c r="L12" s="108" t="str">
        <f>IF(Lang="Français","Masse propu",IF(Lang="English","Motor Mass",""))</f>
        <v>Masse propu</v>
      </c>
      <c r="M12" s="109">
        <f ca="1">MpropuPlein</f>
        <v>1.6850000000000001</v>
      </c>
      <c r="N12" s="587">
        <f ca="1">MpropuVide</f>
        <v>0.65200000000000002</v>
      </c>
      <c r="O12" s="588"/>
      <c r="P12" s="110" t="s">
        <v>14</v>
      </c>
      <c r="Q12" s="29"/>
      <c r="S12" s="386" t="str">
        <f>IF(Lang="Français","Haut",IF(Lang="English","Top",""))</f>
        <v>Haut</v>
      </c>
      <c r="T12" s="387">
        <f ca="1">XpropuRef-Long_propu</f>
        <v>632</v>
      </c>
    </row>
    <row r="13" spans="1:20" ht="12.75" customHeight="1" x14ac:dyDescent="0.2">
      <c r="A13" s="25"/>
      <c r="B13" s="139" t="str">
        <f>IF(Lang="Français","Centre de Masse",IF(Lang="English","Center of Mass",""))</f>
        <v>Centre de Masse</v>
      </c>
      <c r="C13" s="35">
        <v>493</v>
      </c>
      <c r="D13" s="34" t="s">
        <v>572</v>
      </c>
      <c r="L13" s="108" t="str">
        <f>IF(Lang="Français","CdM propu",IF(Lang="English","Motor CoM",""))</f>
        <v>CdM propu</v>
      </c>
      <c r="M13" s="111">
        <f ca="1">XpropuPlein</f>
        <v>250</v>
      </c>
      <c r="N13" s="585">
        <f ca="1">XpropuVide</f>
        <v>240</v>
      </c>
      <c r="O13" s="586"/>
      <c r="P13" s="110" t="s">
        <v>14</v>
      </c>
      <c r="Q13" s="29"/>
      <c r="S13" s="386" t="str">
        <f>IF(Lang="Français","Longueur",IF(Lang="English","Length",""))</f>
        <v>Longueur</v>
      </c>
      <c r="T13" s="387">
        <f ca="1">Long_propu</f>
        <v>488</v>
      </c>
    </row>
    <row r="14" spans="1:20" ht="12.6" customHeight="1" x14ac:dyDescent="0.2">
      <c r="A14" s="25"/>
      <c r="B14" s="139" t="str">
        <f>IF(Lang="Français","Longueur totale",IF(Lang="English","Total length",""))</f>
        <v>Longueur totale</v>
      </c>
      <c r="C14" s="554">
        <v>1120</v>
      </c>
      <c r="D14" s="555"/>
      <c r="L14" s="108" t="str">
        <f>IF(Lang="Français","Masse fusée",IF(Lang="English","Rocket Mass",""))</f>
        <v>Masse fusée</v>
      </c>
      <c r="M14" s="112">
        <f ca="1">MasseSans+MpropuPlein</f>
        <v>6.0259999999999998</v>
      </c>
      <c r="N14" s="567">
        <f ca="1">MasseSans+MpropuVide</f>
        <v>4.9930000000000003</v>
      </c>
      <c r="O14" s="568"/>
      <c r="P14" s="109">
        <f>IF(OR(D12="sans propu",D12="without motor"),C12/1000,IF(OR(D12="avec propu vide",D12="with empty motor"),C12/1000-MpropuVide,IF(OR(D12="avec propu plein",D12="with loaded motor"),C12/1000-MpropuPlein,"Erreur")))</f>
        <v>4.3410000000000002</v>
      </c>
      <c r="Q14" s="29"/>
      <c r="S14" s="386" t="str">
        <f>IF(Lang="Français","Bas",IF(Lang="English","Base",""))</f>
        <v>Bas</v>
      </c>
      <c r="T14" s="387">
        <f>XpropuRef</f>
        <v>1120</v>
      </c>
    </row>
    <row r="15" spans="1:20" ht="12.75" customHeight="1" x14ac:dyDescent="0.2">
      <c r="A15" s="25"/>
      <c r="B15" s="139" t="str">
        <f>IF(Lang="Français","Diamètre Réf.",IF(Lang="English","Ref. Diameter",""))</f>
        <v>Diamètre Réf.</v>
      </c>
      <c r="C15" s="554">
        <v>104</v>
      </c>
      <c r="D15" s="555"/>
      <c r="L15" s="175" t="str">
        <f>IF(Lang="Français","CdM fusée",IF(Lang="English","Rocket CoM",""))</f>
        <v>CdM fusée</v>
      </c>
      <c r="M15" s="176">
        <f ca="1">(XcgSans*MasseSans+(XpropuRef-Long_propu+XpropuPlein)*MpropuPlein)/MassePlein</f>
        <v>601.77281778957854</v>
      </c>
      <c r="N15" s="569">
        <f ca="1">(XcgSans*MasseSans+(XpropuRef-Long_propu+XpropuVide)*MpropuVide)/MasseVide</f>
        <v>542.49088724213902</v>
      </c>
      <c r="O15" s="570"/>
      <c r="P15" s="113">
        <f>IF(OR(D13="sans propu",D13="without motor"),C13,IF(OR(D13="avec propu vide",D13="with empty motor"),(C13*MasseVide-(XpropuRef-Long_propu+XpropuVide)*MpropuVide)/MasseSans,IF(OR(D13="avec propu plein",D13="with loaded motor"),(C13*MassePlein-(XpropuRef-Long_propu+XpropuPlein)*MpropuPlein)/MasseSans,"Erreur")))</f>
        <v>493</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0" ht="12.75" customHeight="1" thickTop="1" thickBot="1" x14ac:dyDescent="0.25">
      <c r="A17" s="25"/>
      <c r="C17" s="542" t="str">
        <f>IF(Lang="Français","Propulseur",IF(Lang="English","Motor",""))</f>
        <v>Propulseur</v>
      </c>
      <c r="D17" s="543"/>
      <c r="L17" s="114"/>
      <c r="M17" s="571" t="s">
        <v>55</v>
      </c>
      <c r="N17" s="572"/>
      <c r="O17" s="595" t="s">
        <v>65</v>
      </c>
      <c r="P17" s="595"/>
      <c r="Q17" s="29"/>
      <c r="S17" s="386" t="str">
        <f>IF(Lang="Français","Haut","Top")</f>
        <v>Haut</v>
      </c>
      <c r="T17" s="387">
        <f>X_ail-m_ail</f>
        <v>860</v>
      </c>
    </row>
    <row r="18" spans="1:20" ht="12.75" customHeight="1" thickTop="1" x14ac:dyDescent="0.2">
      <c r="A18" s="25"/>
      <c r="B18" s="139" t="s">
        <v>54</v>
      </c>
      <c r="C18" s="544" t="s">
        <v>548</v>
      </c>
      <c r="D18" s="545"/>
      <c r="K18" s="37"/>
      <c r="L18" s="108" t="str">
        <f>IF(Lang="Français","Coiffe",IF(Lang="English","Nose Cone",""))</f>
        <v>Coiffe</v>
      </c>
      <c r="M18" s="547">
        <f>IF(LEFT(Forme_ogive,5)="Parab",1/2*Long_ogive,IF(LEFT(Forme_ogive,4)="Ogiv",7/15*Long_ogive,IF(LEFT(Forme_ogive,3)="Con",2/3*Long_ogive)))</f>
        <v>0.66666666666666663</v>
      </c>
      <c r="N18" s="548"/>
      <c r="O18" s="546">
        <f>2*POWER(D_og/D_ref, 2)</f>
        <v>1.304733727810651</v>
      </c>
      <c r="P18" s="546"/>
      <c r="Q18" s="29"/>
      <c r="S18" s="386" t="str">
        <f>IF(Lang="Français","Emplanture","Root edge")</f>
        <v>Emplanture</v>
      </c>
      <c r="T18" s="387">
        <f>m_ail</f>
        <v>210</v>
      </c>
    </row>
    <row r="19" spans="1:20" ht="12.75" customHeight="1" x14ac:dyDescent="0.2">
      <c r="A19" s="25"/>
      <c r="B19" s="139" t="str">
        <f>IF(Lang="Français","Position du bas",IF(Lang="English","Basement",""))</f>
        <v>Position du bas</v>
      </c>
      <c r="C19" s="575">
        <v>1120</v>
      </c>
      <c r="D19" s="575"/>
      <c r="L19" s="108" t="str">
        <f>IF(Lang="Français","Ailerons",IF(Lang="English","Fins",""))</f>
        <v>Ailerons</v>
      </c>
      <c r="M19" s="547">
        <f>(XCpa*Cnail-0.5*XCpi*Cni)/Cnai</f>
        <v>977.35632183908046</v>
      </c>
      <c r="N19" s="548"/>
      <c r="O19" s="549">
        <f>Cnail-Cni/2</f>
        <v>14.898908321521693</v>
      </c>
      <c r="P19" s="550"/>
      <c r="Q19" s="29"/>
      <c r="S19" s="386" t="str">
        <f>IF(Lang="Français","Bas","Base")</f>
        <v>Bas</v>
      </c>
      <c r="T19" s="387">
        <f>X_ail</f>
        <v>1070</v>
      </c>
    </row>
    <row r="20" spans="1:20" ht="12.75" customHeight="1" thickBot="1" x14ac:dyDescent="0.25">
      <c r="A20" s="25"/>
      <c r="B20" s="428" t="str">
        <f>IF(Propu="Cariacou","Cariacou :"," ")</f>
        <v xml:space="preserve"> </v>
      </c>
      <c r="C20" s="576" t="str">
        <f>IF(Propu="Pandora (Pro24-6G)",IF(Lang="Français","C'Space Seulement",IF(Lang="English","C'Space only","")),"")</f>
        <v/>
      </c>
      <c r="D20" s="576"/>
      <c r="L20" s="108" t="str">
        <f>IF(Lang="Français","Ail bas entier",IF(Lang="English","Total Lower Fins",""))</f>
        <v>Ail bas entier</v>
      </c>
      <c r="M20" s="547">
        <f>X_ail-m_ail+p_ail*(m_ail+2*n_ail)/(3*(m_ail+n_ail))+(m_ail+n_ail-m_ail*n_ail/(m_ail+n_ail))/6</f>
        <v>977.35632183908046</v>
      </c>
      <c r="N20" s="548"/>
      <c r="O20" s="546">
        <f>4*Q_ail*POWER((E_ail/D_ref),2)*(1+D_ail/(2*E_ail+D_ail))/(1+SQRT(1+POWER(2*f_ail/(m_ail+n_ail),2)))</f>
        <v>14.898908321521693</v>
      </c>
      <c r="P20" s="546"/>
      <c r="Q20" s="29"/>
    </row>
    <row r="21" spans="1:20" ht="12.75" customHeight="1" thickTop="1" thickBot="1" x14ac:dyDescent="0.25">
      <c r="A21" s="25"/>
      <c r="B21" s="30"/>
      <c r="C21" s="551" t="str">
        <f>IF(Lang="Français","Coiffe",IF(Lang="English","Nose Cone",""))</f>
        <v>Coiffe</v>
      </c>
      <c r="D21" s="552"/>
      <c r="L21" s="108" t="str">
        <f>IF(Lang="Français","Ailerons haut",IF(Lang="English","Upper Fins",""))</f>
        <v>Ailerons haut</v>
      </c>
      <c r="M21" s="547">
        <f>IF(LEFT(Type_masquage,1)="M",0, X_can-m_can+p_can*(m_can+2*n_can)/(3*(m_can+n_can))+(m_can+n_can-m_can*n_can/(m_can+n_can))/6)</f>
        <v>0</v>
      </c>
      <c r="N21" s="548"/>
      <c r="O21" s="546">
        <f>IF(LEFT(Type_masquage,1)="M",0, 4*Q_can*POWER((E_can/D_ref),2)*(1+D_can/(2*E_can+D_can))/(1+SQRT(1+POWER(2*f_can/(m_can+n_can),2))))</f>
        <v>0</v>
      </c>
      <c r="P21" s="546"/>
      <c r="Q21" s="29"/>
    </row>
    <row r="22" spans="1:20" ht="12.75" customHeight="1" thickTop="1" x14ac:dyDescent="0.2">
      <c r="A22" s="25"/>
      <c r="B22" s="139" t="str">
        <f>IF(Lang="Français","Forme",IF(Lang="English","Shape",""))</f>
        <v>Forme</v>
      </c>
      <c r="C22" s="577" t="s">
        <v>569</v>
      </c>
      <c r="D22" s="578"/>
      <c r="L22" s="108" t="str">
        <f>IF(Lang="Français","Partie masquée",IF(Lang="English","Interation zone",""))</f>
        <v>Partie masquée</v>
      </c>
      <c r="M22" s="560">
        <f>IF(LEFT(Type_masquage,1)="B", X_int-m_int+p_int*(m_int+2*n_int)/(3*(m_int+n_int))+(m_int+n_int-m_int*n_int/(m_int+n_int))/6, 0 )</f>
        <v>0</v>
      </c>
      <c r="N22" s="560"/>
      <c r="O22" s="549">
        <f>IF(LEFT(Type_masquage,1)="B", 4*Q_int*POWER((E_int/D_ref),2)*(1+D_int/(2*E_int+D_int))/(1+SQRT(1+POWER(2*f_int/(m_int+n_int),2))), 0 )</f>
        <v>0</v>
      </c>
      <c r="P22" s="550"/>
      <c r="Q22" s="29"/>
    </row>
    <row r="23" spans="1:20" ht="12.75" customHeight="1" x14ac:dyDescent="0.2">
      <c r="A23" s="25"/>
      <c r="B23" s="139" t="str">
        <f>IF(Lang="Français","Hauteur",IF(Lang="English","Heigth",""))</f>
        <v>Hauteur</v>
      </c>
      <c r="C23" s="554">
        <v>1</v>
      </c>
      <c r="D23" s="555"/>
      <c r="L23" s="108" t="s">
        <v>156</v>
      </c>
      <c r="M23" s="547">
        <f>IF(OR(RIGHT(Nb_diam,1)=",",D2j=0),0, X_j+l_j/3*(1+1/(1+D1j/D2j)) )</f>
        <v>32.063829787234042</v>
      </c>
      <c r="N23" s="548"/>
      <c r="O23" s="546">
        <f>IF(OR(RIGHT(Nb_diam,1)=",",D2j=0),0,2*(POWER(D2j/D_ref,2)-POWER(D1j/D_ref,2)))</f>
        <v>0.695266272189349</v>
      </c>
      <c r="P23" s="546"/>
      <c r="Q23" s="29"/>
    </row>
    <row r="24" spans="1:20" ht="12.75" customHeight="1" thickBot="1" x14ac:dyDescent="0.25">
      <c r="A24" s="25"/>
      <c r="B24" s="139" t="str">
        <f>IF(Lang="Français","Diamètre",IF(Lang="English","Diameter",""))</f>
        <v>Diamètre</v>
      </c>
      <c r="C24" s="554">
        <v>84</v>
      </c>
      <c r="D24" s="555"/>
      <c r="L24" s="108" t="s">
        <v>157</v>
      </c>
      <c r="M24" s="547">
        <f>IF( OR(RIGHT(Nb_diam,1)=",",D2r=0), 0, X_r+l_r/3*(1+1/(1+D1r/D2r)) )</f>
        <v>1094.113475177305</v>
      </c>
      <c r="N24" s="548"/>
      <c r="O24" s="546">
        <f>IF( OR(RIGHT(Nb_diam,1)=",",D2r=0), 0, 2*(POWER(D2r/D_ref,2)-POWER(D1r/D_ref,2)) )</f>
        <v>-0.695266272189349</v>
      </c>
      <c r="P24" s="546"/>
      <c r="Q24" s="29"/>
    </row>
    <row r="25" spans="1:20"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0"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46116</v>
      </c>
      <c r="G26" s="137" t="s">
        <v>62</v>
      </c>
      <c r="H26" s="541" t="str">
        <f>IF(Lang="Français","Résultats",IF(Lang="English","Results",""))</f>
        <v>Résultats</v>
      </c>
      <c r="I26" s="541"/>
      <c r="J26" s="137" t="s">
        <v>63</v>
      </c>
      <c r="K26" s="32"/>
      <c r="L26" s="38"/>
      <c r="M26" s="38"/>
      <c r="N26" s="38"/>
      <c r="Q26" s="29"/>
      <c r="R26" s="38"/>
      <c r="S26" s="388" t="str">
        <f ca="1">IF(AND(Vsortie_de_rampe&lt;18, OR(LEFT(Type_fusee,1)=",",LEFT(Type_fusee,4)="Mini",LEFT(Type_fusee,1)="R")),IF(Lang="Français","Fusée trop lourde ou rampe trop courte !","Rocket too heavy or launch pad too small!"),"")</f>
        <v/>
      </c>
    </row>
    <row r="27" spans="1:20" ht="12.75" customHeight="1" thickTop="1" x14ac:dyDescent="0.2">
      <c r="A27" s="25"/>
      <c r="B27" s="30"/>
      <c r="C27" s="573" t="s">
        <v>423</v>
      </c>
      <c r="D27" s="574"/>
      <c r="E27" s="146">
        <f>m_ail</f>
        <v>210</v>
      </c>
      <c r="F27" s="105" t="s">
        <v>64</v>
      </c>
      <c r="G27" s="104">
        <f>IF(RIGHT(Type_fusee,1)=".",10, IF(OR(LEFT(Type_fusee,1)="R",LEFT(Type_fusee,1)=",",LEFT(Type_fusee,4)="Mini"),10, IF(LEFT(Type_fusee,5)="Micro",10, IF(RIGHT(Type_fusee,1)=" ",1))))</f>
        <v>10</v>
      </c>
      <c r="H27" s="589">
        <f>Long_tot/D_ref</f>
        <v>10.76923076923077</v>
      </c>
      <c r="I27" s="590"/>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0" ht="12.75" customHeight="1" x14ac:dyDescent="0.2">
      <c r="A28" s="25"/>
      <c r="B28" s="524" t="str">
        <f>IF(Lang="Français"," Emplanture  'm'",IF(Lang="English"," Root edge  'm'",""))</f>
        <v xml:space="preserve"> Emplanture  'm'</v>
      </c>
      <c r="C28" s="177">
        <v>210</v>
      </c>
      <c r="D28" s="177">
        <v>180</v>
      </c>
      <c r="E28" s="146">
        <f>n_ail+(m_ail-n_ail)*(1-E_int/E_ail)</f>
        <v>111.37931034482759</v>
      </c>
      <c r="F28" s="105" t="str">
        <f>IF(Lang="Français","Portance","Lift")</f>
        <v>Portance</v>
      </c>
      <c r="G28" s="104">
        <f>IF(RIGHT(Type_fusee,1)=".",15,IF(OR(LEFT(Type_fusee,1)="R",LEFT(Type_fusee,1)=",",LEFT(Type_fusee,4)="Mini"),15, IF(LEFT(Type_fusee,5)="Micro",15, IF(RIGHT(Type_fusee,1)=" ",15))))</f>
        <v>15</v>
      </c>
      <c r="H28" s="508">
        <f>Cnai+Cnc+Cno+Cnj+Cnr</f>
        <v>16.203642049332345</v>
      </c>
      <c r="I28" s="508">
        <f>Cnail+Cnc+Cno+Cnj+Cnr</f>
        <v>16.203642049332345</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0" ht="12.75" customHeight="1" x14ac:dyDescent="0.2">
      <c r="A29" s="25"/>
      <c r="B29" s="524" t="str">
        <f>IF(Lang="Français"," Saumon       'n'",IF(Lang="English"," Tip edge    'n'",""))</f>
        <v xml:space="preserve"> Saumon       'n'</v>
      </c>
      <c r="C29" s="35">
        <v>80</v>
      </c>
      <c r="D29" s="35">
        <v>80</v>
      </c>
      <c r="E29" s="146">
        <f>p_ail*E_int/E_ail</f>
        <v>140.34482758620689</v>
      </c>
      <c r="F29" s="515" t="str">
        <f>IF(Lang="Français","MargeStat.","StatMargin")</f>
        <v>MargeStat.</v>
      </c>
      <c r="G29" s="510">
        <f>IF(RIGHT(Type_fusee,1)=".",2, IF(OR(LEFT(Type_fusee,1)="R",LEFT(Type_fusee,1)=",",LEFT(Type_fusee,4)="Mini"),1.5, IF(LEFT(Type_fusee,5)="Micro",1, IF(RIGHT(Type_fusee,1)=" ",1))))</f>
        <v>2</v>
      </c>
      <c r="H29" s="97">
        <f ca="1">(XCp-XcgPlein)/D_ref</f>
        <v>2.4170096915877433</v>
      </c>
      <c r="I29" s="98">
        <f ca="1">(XCp0-XcgVide)/D_ref</f>
        <v>2.9870282545438922</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row>
    <row r="30" spans="1:20" ht="12.75" customHeight="1" x14ac:dyDescent="0.2">
      <c r="A30" s="25"/>
      <c r="B30" s="524" t="str">
        <f>IF(Lang="Français"," Flèche          'p'"," Offset         'p'")</f>
        <v xml:space="preserve"> Flèche          'p'</v>
      </c>
      <c r="C30" s="35">
        <v>185</v>
      </c>
      <c r="D30" s="35">
        <v>160</v>
      </c>
      <c r="E30" s="146">
        <f>IF(D_can/2+E_can&lt;=D_ail/2,0, IF(D_can/2+E_can&gt;=D_ail/2+E_ail,E_ail,  D_can/2+E_can - D_ail/2  ) )</f>
        <v>110</v>
      </c>
      <c r="F30" s="516" t="str">
        <f>IF(Lang="Français","Couple","Torque")</f>
        <v>Couple</v>
      </c>
      <c r="G30" s="511">
        <f>IF(RIGHT(Type_fusee,1)=".",40, IF(OR(LEFT(Type_fusee,1)="R",LEFT(Type_fusee,1)=",",LEFT(Type_fusee,4)="Mini"),30, IF(LEFT(Type_fusee,5)="Micro",15, IF(RIGHT(Type_fusee,1)=" ",15))))</f>
        <v>40</v>
      </c>
      <c r="H30" s="99">
        <f ca="1">MS_min*Cn</f>
        <v>39.164359872254956</v>
      </c>
      <c r="I30" s="96">
        <f ca="1">MS_max*Cn0</f>
        <v>48.400736627871211</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Ailerons trop petits ou trop haut /CdM !</v>
      </c>
    </row>
    <row r="31" spans="1:20" ht="12.75" customHeight="1" x14ac:dyDescent="0.2">
      <c r="A31" s="25"/>
      <c r="B31" s="524" t="str">
        <f>IF(Lang="Français"," Envergure     'E'",IF(Lang="English"," Span          'E'",""))</f>
        <v xml:space="preserve"> Envergure     'E'</v>
      </c>
      <c r="C31" s="35">
        <v>145</v>
      </c>
      <c r="D31" s="35">
        <v>110</v>
      </c>
      <c r="E31" s="146">
        <f>ep_ail</f>
        <v>4</v>
      </c>
      <c r="F31" s="106" t="s">
        <v>55</v>
      </c>
      <c r="G31" s="103"/>
      <c r="H31" s="509">
        <f>(Cnai*XCpai+Cnc*XCpc+Cnj*XCpj+Cnr*XCpr+Cno*XCpo)/(Cnai+Cnc+Cnr+Cnj+Cno)</f>
        <v>853.14182571470383</v>
      </c>
      <c r="I31" s="509">
        <f>(Cnail*XCpa+Cnc*XCpc+Cnj*XCpj+Cnr*XCpr+Cno*XCpo)/(Cnail+Cnc+Cnr+Cnj+Cno)</f>
        <v>853.14182571470383</v>
      </c>
      <c r="J31" s="102"/>
      <c r="K31" s="32"/>
      <c r="Q31" s="29"/>
      <c r="R31" s="38"/>
      <c r="S31" s="388"/>
    </row>
    <row r="32" spans="1:20" ht="12.75" customHeight="1" x14ac:dyDescent="0.2">
      <c r="A32" s="25"/>
      <c r="B32" s="525" t="str">
        <f>IF(Lang="Français"," Epaisseur     'ep'",IF(Lang="English"," Thickness  'ep'",""))</f>
        <v xml:space="preserve"> Epaisseur     'ep'</v>
      </c>
      <c r="C32" s="35">
        <v>4</v>
      </c>
      <c r="D32" s="35">
        <v>4</v>
      </c>
      <c r="E32" s="146">
        <f>IF(Q_ail=Q_can,Q_ail,FALSE)</f>
        <v>4</v>
      </c>
      <c r="F32" s="106" t="s">
        <v>66</v>
      </c>
      <c r="G32" s="103"/>
      <c r="H32" s="100">
        <f ca="1">(XCp-XcgPlein)/Long_tot*100</f>
        <v>22.443661421886183</v>
      </c>
      <c r="I32" s="101">
        <f ca="1">(XCp-XcgVide)/Long_tot*100</f>
        <v>27.736690935050429</v>
      </c>
      <c r="J32" s="102"/>
      <c r="K32" s="32"/>
      <c r="Q32" s="29"/>
      <c r="R32" s="38"/>
    </row>
    <row r="33" spans="1:23" ht="12.75" customHeight="1" x14ac:dyDescent="0.2">
      <c r="A33" s="25"/>
      <c r="B33" s="524" t="str">
        <f>IF(Lang="Français"," Nombre            ",IF(Lang="English"," Number of fins",""))</f>
        <v xml:space="preserve"> Nombre            </v>
      </c>
      <c r="C33" s="36">
        <v>4</v>
      </c>
      <c r="D33" s="36">
        <v>4</v>
      </c>
      <c r="E33" s="146">
        <f>X_ail</f>
        <v>1070</v>
      </c>
      <c r="G33" s="24"/>
      <c r="H33" s="579" t="str">
        <f ca="1">IF(AND(CritCnmin&lt;Cn,Cn0&lt;CritCnmax,CritMsmin&lt;MS_min,MS_max&lt;CritMsmax,CritMsCnmin&lt;MS_Cn_min,MS_Cn_max&lt;CritMsCnmax),"STABLE",IF(OR(Cn&lt;CritCnmin,MS_min&lt;CritMsmin,MS_Cn_min&lt;CritMsCnmin),"INSTABLE",IF(Lang="Français","SURSTABLE","OVERSTABLE")))</f>
        <v>INSTABLE</v>
      </c>
      <c r="I33" s="580"/>
      <c r="J33" s="31"/>
      <c r="K33" s="32"/>
      <c r="Q33" s="29"/>
      <c r="R33" s="38"/>
    </row>
    <row r="34" spans="1:23" ht="12.75" customHeight="1" x14ac:dyDescent="0.2">
      <c r="A34" s="25"/>
      <c r="B34" s="524" t="str">
        <f>IF(Lang="Français"," Position du bas",IF(Lang="English"," Basement",""))</f>
        <v xml:space="preserve"> Position du bas</v>
      </c>
      <c r="C34" s="35">
        <v>1070</v>
      </c>
      <c r="D34" s="35">
        <v>1250</v>
      </c>
      <c r="E34" s="146">
        <f>D_ail</f>
        <v>104</v>
      </c>
      <c r="G34" s="24"/>
      <c r="H34" s="581"/>
      <c r="I34" s="582"/>
      <c r="K34" s="32"/>
      <c r="Q34" s="29"/>
      <c r="R34" s="38"/>
    </row>
    <row r="35" spans="1:23" ht="12.75" customHeight="1" x14ac:dyDescent="0.2">
      <c r="A35" s="25"/>
      <c r="B35" s="524" t="str">
        <f>IF(Lang="Français"," Diamètre         ",IF(Lang="English"," Diameter at Fins",""))</f>
        <v xml:space="preserve"> Diamètre         </v>
      </c>
      <c r="C35" s="35">
        <v>104</v>
      </c>
      <c r="D35" s="35">
        <f>D_ref</f>
        <v>104</v>
      </c>
      <c r="E35" s="146">
        <f>SQRT(POWER(p_int+n_int/2-m_int/2,2)+POWER(E_int,2))</f>
        <v>142.78402239441783</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188.21530224718711</v>
      </c>
      <c r="D36" s="145">
        <f>SQRT(POWER(p_can+n_can/2-m_can/2,2)+POWER(E_can,2))</f>
        <v>155.56349186104046</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566</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423</v>
      </c>
      <c r="H111" s="43"/>
      <c r="I111" s="44"/>
      <c r="J111" s="43"/>
      <c r="L111" s="43"/>
      <c r="M111" s="43"/>
      <c r="N111" s="43"/>
      <c r="Q111" s="43"/>
      <c r="R111" s="43"/>
    </row>
    <row r="112" spans="2:18" x14ac:dyDescent="0.2">
      <c r="B112" s="38" t="s">
        <v>424</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-1</v>
      </c>
      <c r="D124" s="46">
        <v>0</v>
      </c>
      <c r="E124" s="93">
        <f t="shared" ref="E124:E136" si="0">-D124</f>
        <v>0</v>
      </c>
      <c r="K124" s="46"/>
    </row>
    <row r="125" spans="2:18" x14ac:dyDescent="0.2">
      <c r="B125" s="45" t="s">
        <v>72</v>
      </c>
      <c r="C125" s="46">
        <f>-Long_ogive</f>
        <v>-1</v>
      </c>
      <c r="D125" s="46">
        <f>D_og/2</f>
        <v>42</v>
      </c>
      <c r="E125" s="93">
        <f t="shared" si="0"/>
        <v>-42</v>
      </c>
      <c r="K125" s="46"/>
    </row>
    <row r="126" spans="2:18" x14ac:dyDescent="0.2">
      <c r="B126" s="45" t="s">
        <v>73</v>
      </c>
      <c r="C126" s="46">
        <f>IF(AND(RIGHT(Nb_diam,1)=".",X_j), -X_j, C125 )</f>
        <v>-1</v>
      </c>
      <c r="D126" s="46">
        <f>IF(AND(RIGHT(Nb_diam,1)=".",X_j), D1j/2, D125 )</f>
        <v>42</v>
      </c>
      <c r="E126" s="93">
        <f t="shared" si="0"/>
        <v>-42</v>
      </c>
      <c r="K126" s="46"/>
    </row>
    <row r="127" spans="2:18" x14ac:dyDescent="0.2">
      <c r="B127" s="45" t="s">
        <v>74</v>
      </c>
      <c r="C127" s="46">
        <f>IF(AND(RIGHT(Nb_diam,1)=".",X_j), -X_j-l_j, C126 )</f>
        <v>-61</v>
      </c>
      <c r="D127" s="46">
        <f>IF(AND(RIGHT(Nb_diam,1)=".",X_j), D2j/2, D126 )</f>
        <v>52</v>
      </c>
      <c r="E127" s="93">
        <f t="shared" si="0"/>
        <v>-52</v>
      </c>
      <c r="K127" s="46"/>
    </row>
    <row r="128" spans="2:18" x14ac:dyDescent="0.2">
      <c r="B128" s="45" t="s">
        <v>75</v>
      </c>
      <c r="C128" s="46">
        <f>IF(AND(RIGHT(Nb_diam,1)=".",X_r), -X_r, C127 )</f>
        <v>-1070</v>
      </c>
      <c r="D128" s="46">
        <f>IF(AND(RIGHT(Nb_diam,1)=".",X_r), D1r/2, D127 )</f>
        <v>52</v>
      </c>
      <c r="E128" s="93">
        <f t="shared" si="0"/>
        <v>-52</v>
      </c>
      <c r="K128" s="46"/>
    </row>
    <row r="129" spans="2:11" x14ac:dyDescent="0.2">
      <c r="B129" s="45" t="s">
        <v>76</v>
      </c>
      <c r="C129" s="46">
        <f>IF(AND(RIGHT(Nb_diam,1)=".",X_r), -X_r-l_r, C128 )</f>
        <v>-1120</v>
      </c>
      <c r="D129" s="46">
        <f>IF(AND(RIGHT(Nb_diam,1)=".",X_r), D2r/2, D128 )</f>
        <v>42</v>
      </c>
      <c r="E129" s="93">
        <f t="shared" si="0"/>
        <v>-42</v>
      </c>
      <c r="K129" s="46"/>
    </row>
    <row r="130" spans="2:11" x14ac:dyDescent="0.2">
      <c r="B130" s="45" t="s">
        <v>77</v>
      </c>
      <c r="C130" s="46">
        <f>-Long_tot</f>
        <v>-1120</v>
      </c>
      <c r="D130" s="46">
        <f>D129</f>
        <v>42</v>
      </c>
      <c r="E130" s="93">
        <f t="shared" si="0"/>
        <v>-42</v>
      </c>
      <c r="K130" s="46"/>
    </row>
    <row r="131" spans="2:11" x14ac:dyDescent="0.2">
      <c r="B131" s="45" t="s">
        <v>77</v>
      </c>
      <c r="C131" s="46">
        <f>-Long_tot</f>
        <v>-1120</v>
      </c>
      <c r="D131" s="46">
        <v>0</v>
      </c>
      <c r="E131" s="93">
        <f t="shared" si="0"/>
        <v>0</v>
      </c>
      <c r="K131" s="46"/>
    </row>
    <row r="132" spans="2:11" x14ac:dyDescent="0.2">
      <c r="B132" s="183" t="s">
        <v>78</v>
      </c>
      <c r="C132" s="197">
        <f>-X_ail+m_ail</f>
        <v>-860</v>
      </c>
      <c r="D132" s="197">
        <f>D_ail/2</f>
        <v>52</v>
      </c>
      <c r="E132" s="198">
        <f t="shared" si="0"/>
        <v>-52</v>
      </c>
      <c r="K132" s="46"/>
    </row>
    <row r="133" spans="2:11" x14ac:dyDescent="0.2">
      <c r="B133" s="185" t="s">
        <v>79</v>
      </c>
      <c r="C133" s="46">
        <f>-X_ail+m_ail-p_ail</f>
        <v>-1045</v>
      </c>
      <c r="D133" s="46">
        <f>D_ail/2+E_ail</f>
        <v>197</v>
      </c>
      <c r="E133" s="199">
        <f t="shared" si="0"/>
        <v>-197</v>
      </c>
      <c r="K133" s="46"/>
    </row>
    <row r="134" spans="2:11" x14ac:dyDescent="0.2">
      <c r="B134" s="185" t="s">
        <v>80</v>
      </c>
      <c r="C134" s="46">
        <f>-X_ail+m_ail-p_ail-n_ail</f>
        <v>-1125</v>
      </c>
      <c r="D134" s="46">
        <f>D_ail/2+E_ail</f>
        <v>197</v>
      </c>
      <c r="E134" s="199">
        <f t="shared" si="0"/>
        <v>-197</v>
      </c>
      <c r="K134" s="46"/>
    </row>
    <row r="135" spans="2:11" x14ac:dyDescent="0.2">
      <c r="B135" s="185" t="s">
        <v>81</v>
      </c>
      <c r="C135" s="46">
        <f>-X_ail</f>
        <v>-1070</v>
      </c>
      <c r="D135" s="46">
        <f>D_ail/2</f>
        <v>52</v>
      </c>
      <c r="E135" s="199">
        <f t="shared" si="0"/>
        <v>-52</v>
      </c>
      <c r="K135" s="46"/>
    </row>
    <row r="136" spans="2:11" x14ac:dyDescent="0.2">
      <c r="B136" s="187" t="s">
        <v>78</v>
      </c>
      <c r="C136" s="200">
        <f>-X_ail+m_ail</f>
        <v>-860</v>
      </c>
      <c r="D136" s="200">
        <f>D_ail/2</f>
        <v>52</v>
      </c>
      <c r="E136" s="201">
        <f t="shared" si="0"/>
        <v>-52</v>
      </c>
      <c r="K136" s="46"/>
    </row>
    <row r="137" spans="2:11" x14ac:dyDescent="0.2">
      <c r="B137" s="192" t="str">
        <f>IF(E_ail&gt;0,IF(Lang="Français","Envergure","Span"),"")</f>
        <v>Envergure</v>
      </c>
      <c r="C137" s="197">
        <f>MIN(-X_ail,-X_ail+m_ail-p_ail-n_ail)-Long_tot/30</f>
        <v>-1162.3333333333333</v>
      </c>
      <c r="D137" s="207">
        <f>-D_ail/2-E_ail</f>
        <v>-197</v>
      </c>
      <c r="E137" s="93"/>
      <c r="K137" s="46"/>
    </row>
    <row r="138" spans="2:11" x14ac:dyDescent="0.2">
      <c r="B138" s="195" t="s">
        <v>166</v>
      </c>
      <c r="C138" s="46">
        <f>MIN(-X_ail,-X_ail+m_ail-p_ail-n_ail)-Long_tot/30</f>
        <v>-1162.3333333333333</v>
      </c>
      <c r="D138" s="208">
        <f>-D_ail/2-E_ail/2</f>
        <v>-124.5</v>
      </c>
      <c r="E138" s="93"/>
      <c r="K138" s="46"/>
    </row>
    <row r="139" spans="2:11" x14ac:dyDescent="0.2">
      <c r="B139" s="212" t="s">
        <v>162</v>
      </c>
      <c r="C139" s="200">
        <f>MIN(-X_ail,-X_ail+m_ail-p_ail-n_ail)-Long_tot/30</f>
        <v>-1162.3333333333333</v>
      </c>
      <c r="D139" s="209">
        <f>-D_ail/2</f>
        <v>-52</v>
      </c>
      <c r="E139" s="93"/>
      <c r="K139" s="46"/>
    </row>
    <row r="140" spans="2:11" x14ac:dyDescent="0.2">
      <c r="B140" s="192" t="str">
        <f>IF(Lang="Français","Emplanture","Root edge")</f>
        <v>Emplanture</v>
      </c>
      <c r="C140" s="197">
        <f>-X_ail+m_ail</f>
        <v>-860</v>
      </c>
      <c r="D140" s="207">
        <f>D_ail/2+E_ail+Long_tot/20</f>
        <v>253</v>
      </c>
      <c r="E140" s="93"/>
      <c r="K140" s="46"/>
    </row>
    <row r="141" spans="2:11" x14ac:dyDescent="0.2">
      <c r="B141" s="195" t="s">
        <v>168</v>
      </c>
      <c r="C141" s="46">
        <f>-X_ail+m_ail/2</f>
        <v>-965</v>
      </c>
      <c r="D141" s="208">
        <f>D_ail/2+E_ail+Long_tot/20</f>
        <v>253</v>
      </c>
      <c r="E141" s="93"/>
      <c r="K141" s="46"/>
    </row>
    <row r="142" spans="2:11" x14ac:dyDescent="0.2">
      <c r="B142" s="212" t="s">
        <v>169</v>
      </c>
      <c r="C142" s="200">
        <f>-X_ail</f>
        <v>-1070</v>
      </c>
      <c r="D142" s="209">
        <f>D_ail/2+E_ail+Long_tot/20</f>
        <v>253</v>
      </c>
      <c r="E142" s="93"/>
      <c r="K142" s="46"/>
    </row>
    <row r="143" spans="2:11" x14ac:dyDescent="0.2">
      <c r="B143" s="192" t="str">
        <f>IF(p_ail&lt;&gt;0,IF(Lang="Français","Flèche","Offset"),"")</f>
        <v>Flèche</v>
      </c>
      <c r="C143" s="197">
        <f>-X_ail+m_ail</f>
        <v>-860</v>
      </c>
      <c r="D143" s="207">
        <f>-D_ail/2-E_ail-Long_tot/30</f>
        <v>-234.33333333333334</v>
      </c>
      <c r="E143" s="93"/>
      <c r="K143" s="46"/>
    </row>
    <row r="144" spans="2:11" x14ac:dyDescent="0.2">
      <c r="B144" s="195" t="s">
        <v>165</v>
      </c>
      <c r="C144" s="46">
        <f>-X_ail+m_ail-p_ail/2</f>
        <v>-952.5</v>
      </c>
      <c r="D144" s="208">
        <f>-D_ail/2-E_ail-Long_tot/30</f>
        <v>-234.33333333333334</v>
      </c>
      <c r="E144" s="93"/>
      <c r="K144" s="46"/>
    </row>
    <row r="145" spans="2:11" x14ac:dyDescent="0.2">
      <c r="B145" s="212" t="s">
        <v>163</v>
      </c>
      <c r="C145" s="200">
        <f>-X_ail+m_ail-p_ail</f>
        <v>-1045</v>
      </c>
      <c r="D145" s="209">
        <f>-D_ail/2-E_ail-Long_tot/30</f>
        <v>-234.33333333333334</v>
      </c>
      <c r="E145" s="93"/>
      <c r="K145" s="46"/>
    </row>
    <row r="146" spans="2:11" x14ac:dyDescent="0.2">
      <c r="B146" s="192" t="str">
        <f>IF(n_ail&gt;0,IF(Lang="Français","Saumon","Tip edge"),"")</f>
        <v>Saumon</v>
      </c>
      <c r="C146" s="197">
        <f>-X_ail+m_ail-p_ail</f>
        <v>-1045</v>
      </c>
      <c r="D146" s="207">
        <f>-D_ail/2-E_ail-Long_tot/20</f>
        <v>-253</v>
      </c>
      <c r="E146" s="93"/>
      <c r="K146" s="46"/>
    </row>
    <row r="147" spans="2:11" x14ac:dyDescent="0.2">
      <c r="B147" s="195" t="s">
        <v>167</v>
      </c>
      <c r="C147" s="46">
        <f>-X_ail+m_ail-p_ail-n_ail/2</f>
        <v>-1085</v>
      </c>
      <c r="D147" s="208">
        <f>-D_ail/2-E_ail-Long_tot/20</f>
        <v>-253</v>
      </c>
      <c r="E147" s="93"/>
      <c r="K147" s="46"/>
    </row>
    <row r="148" spans="2:11" x14ac:dyDescent="0.2">
      <c r="B148" s="212" t="s">
        <v>164</v>
      </c>
      <c r="C148" s="200">
        <f>-X_ail+m_ail-p_ail-n_ail</f>
        <v>-1125</v>
      </c>
      <c r="D148" s="209">
        <f>-D_ail/2-E_ail-Long_tot/20</f>
        <v>-253</v>
      </c>
      <c r="E148" s="93"/>
      <c r="K148" s="46"/>
    </row>
    <row r="149" spans="2:11" x14ac:dyDescent="0.2">
      <c r="B149" s="183" t="s">
        <v>82</v>
      </c>
      <c r="C149" s="197">
        <f ca="1">-XcgPlein</f>
        <v>-601.77281778957854</v>
      </c>
      <c r="D149" s="207">
        <v>0</v>
      </c>
      <c r="E149" s="93"/>
      <c r="K149" s="46"/>
    </row>
    <row r="150" spans="2:11" x14ac:dyDescent="0.2">
      <c r="B150" s="187" t="s">
        <v>83</v>
      </c>
      <c r="C150" s="200">
        <f ca="1">-XcgVide</f>
        <v>-542.49088724213902</v>
      </c>
      <c r="D150" s="209">
        <v>0</v>
      </c>
      <c r="E150" s="93"/>
      <c r="K150" s="46"/>
    </row>
    <row r="151" spans="2:11" x14ac:dyDescent="0.2">
      <c r="B151" s="183" t="s">
        <v>84</v>
      </c>
      <c r="C151" s="197">
        <f>-XCp</f>
        <v>-853.14182571470383</v>
      </c>
      <c r="D151" s="207">
        <v>0</v>
      </c>
      <c r="E151" s="93"/>
      <c r="K151" s="46"/>
    </row>
    <row r="152" spans="2:11" x14ac:dyDescent="0.2">
      <c r="B152" s="187" t="s">
        <v>84</v>
      </c>
      <c r="C152" s="200">
        <f>-XCp</f>
        <v>-853.14182571470383</v>
      </c>
      <c r="D152" s="209">
        <f>Cn*D_ref/CritCnmin</f>
        <v>112.3452515420376</v>
      </c>
      <c r="E152" s="93"/>
      <c r="K152" s="46"/>
    </row>
    <row r="153" spans="2:11" x14ac:dyDescent="0.2">
      <c r="B153" s="185" t="s">
        <v>422</v>
      </c>
      <c r="C153" s="46">
        <f>-XCp0</f>
        <v>-853.14182571470383</v>
      </c>
      <c r="D153" s="208">
        <f>Cn0*D_ref/CritCnmin</f>
        <v>112.3452515420376</v>
      </c>
      <c r="E153" s="93"/>
      <c r="K153" s="46"/>
    </row>
    <row r="154" spans="2:11" x14ac:dyDescent="0.2">
      <c r="B154" s="185" t="s">
        <v>422</v>
      </c>
      <c r="C154" s="46">
        <f>-XCp0</f>
        <v>-853.14182571470383</v>
      </c>
      <c r="D154" s="208">
        <v>0</v>
      </c>
      <c r="E154" s="93"/>
      <c r="K154" s="46"/>
    </row>
    <row r="155" spans="2:11" x14ac:dyDescent="0.2">
      <c r="B155" s="192" t="str">
        <f>IF(n_ail&gt;0,IF(Lang="Français","Marge Statique","Static Margin"),"")</f>
        <v>Marge Statique</v>
      </c>
      <c r="C155" s="197">
        <f ca="1">(-XcgPlein-XcgVide)/2</f>
        <v>-572.13185251585878</v>
      </c>
      <c r="D155" s="207">
        <f>-D_ail/2-E_ail-Long_tot/20</f>
        <v>-253</v>
      </c>
      <c r="E155" s="93"/>
      <c r="K155" s="46"/>
    </row>
    <row r="156" spans="2:11" x14ac:dyDescent="0.2">
      <c r="B156" s="195" t="s">
        <v>170</v>
      </c>
      <c r="C156" s="46">
        <f ca="1">(C155+C157)/2</f>
        <v>-712.6368391152813</v>
      </c>
      <c r="D156" s="208">
        <f>-D_ail/2-E_ail-Long_tot/20</f>
        <v>-253</v>
      </c>
      <c r="E156" s="93"/>
      <c r="K156" s="46"/>
    </row>
    <row r="157" spans="2:11" x14ac:dyDescent="0.2">
      <c r="B157" s="212" t="s">
        <v>171</v>
      </c>
      <c r="C157" s="200">
        <f>-XCp</f>
        <v>-853.14182571470383</v>
      </c>
      <c r="D157" s="209">
        <f>-D_ail/2-E_ail-Long_tot/20</f>
        <v>-253</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-1136.25</v>
      </c>
      <c r="D168" s="46">
        <f>MAX(E_ail+D_ail/2, Long_tot/3)</f>
        <v>373.33333333333331</v>
      </c>
      <c r="E168" s="93"/>
      <c r="K168" s="46"/>
    </row>
    <row r="169" spans="2:11" x14ac:dyDescent="0.2">
      <c r="B169" s="45" t="s">
        <v>93</v>
      </c>
      <c r="C169" s="46">
        <f>C168</f>
        <v>-1136.25</v>
      </c>
      <c r="D169" s="46">
        <f>-D168</f>
        <v>-373.33333333333331</v>
      </c>
      <c r="E169" s="93"/>
      <c r="K169" s="46"/>
    </row>
    <row r="170" spans="2:11" x14ac:dyDescent="0.2">
      <c r="B170" s="183" t="s">
        <v>94</v>
      </c>
      <c r="C170" s="197">
        <f ca="1">-XpropuRef+Long_propu</f>
        <v>-632</v>
      </c>
      <c r="D170" s="207">
        <f ca="1">-Diam_propu/2</f>
        <v>-27</v>
      </c>
      <c r="E170" s="93"/>
      <c r="K170" s="46"/>
    </row>
    <row r="171" spans="2:11" x14ac:dyDescent="0.2">
      <c r="B171" s="185" t="s">
        <v>95</v>
      </c>
      <c r="C171" s="46">
        <f ca="1">-XpropuRef+Long_propu</f>
        <v>-632</v>
      </c>
      <c r="D171" s="208">
        <f ca="1">Diam_propu/2</f>
        <v>27</v>
      </c>
      <c r="E171" s="93"/>
      <c r="K171" s="46"/>
    </row>
    <row r="172" spans="2:11" x14ac:dyDescent="0.2">
      <c r="B172" s="185" t="s">
        <v>96</v>
      </c>
      <c r="C172" s="46">
        <f>-XpropuRef</f>
        <v>-1120</v>
      </c>
      <c r="D172" s="208">
        <f ca="1">Diam_propu/2</f>
        <v>27</v>
      </c>
      <c r="E172" s="93"/>
      <c r="K172" s="46"/>
    </row>
    <row r="173" spans="2:11" x14ac:dyDescent="0.2">
      <c r="B173" s="185" t="s">
        <v>97</v>
      </c>
      <c r="C173" s="46">
        <f>-XpropuRef</f>
        <v>-1120</v>
      </c>
      <c r="D173" s="208">
        <f ca="1">-Diam_propu/2</f>
        <v>-27</v>
      </c>
      <c r="E173" s="93"/>
      <c r="K173" s="46"/>
    </row>
    <row r="174" spans="2:11" x14ac:dyDescent="0.2">
      <c r="B174" s="187" t="s">
        <v>98</v>
      </c>
      <c r="C174" s="200">
        <f ca="1">-XpropuRef+Long_propu</f>
        <v>-632</v>
      </c>
      <c r="D174" s="209">
        <f ca="1">-Diam_propu/2</f>
        <v>-27</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-0.1</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-0.25</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-0.5</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-0.75</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-1</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2.4170096915877433</v>
      </c>
      <c r="C190" s="203">
        <f>Cn</f>
        <v>16.203642049332345</v>
      </c>
      <c r="D190" s="185">
        <v>3</v>
      </c>
      <c r="E190" s="205">
        <f t="shared" si="4"/>
        <v>33.333333333333336</v>
      </c>
      <c r="K190" s="45"/>
    </row>
    <row r="191" spans="2:11" x14ac:dyDescent="0.2">
      <c r="B191" s="512">
        <f ca="1">(XCp0-XcgPlein)/D_ref</f>
        <v>2.4170096915877433</v>
      </c>
      <c r="C191" s="513">
        <f>Cn0</f>
        <v>16.203642049332345</v>
      </c>
      <c r="D191" s="185">
        <v>4</v>
      </c>
      <c r="E191" s="205">
        <f t="shared" si="4"/>
        <v>25</v>
      </c>
      <c r="K191" s="45"/>
    </row>
    <row r="192" spans="2:11" x14ac:dyDescent="0.2">
      <c r="B192" s="512">
        <f ca="1">(XCp0-XcgVide)/D_ref</f>
        <v>2.9870282545438922</v>
      </c>
      <c r="C192" s="513">
        <f>Cn0</f>
        <v>16.203642049332345</v>
      </c>
      <c r="D192" s="185">
        <v>6</v>
      </c>
      <c r="E192" s="205">
        <f t="shared" si="4"/>
        <v>16.666666666666668</v>
      </c>
      <c r="K192" s="45"/>
    </row>
    <row r="193" spans="2:11" x14ac:dyDescent="0.2">
      <c r="B193" s="512">
        <f ca="1">(XCp-XcgVide)/D_ref</f>
        <v>2.9870282545438922</v>
      </c>
      <c r="C193" s="513">
        <f>Cn</f>
        <v>16.203642049332345</v>
      </c>
      <c r="D193" s="187">
        <v>7</v>
      </c>
      <c r="E193" s="206">
        <f t="shared" si="4"/>
        <v>14.285714285714286</v>
      </c>
      <c r="K193" s="45"/>
    </row>
    <row r="194" spans="2:11" x14ac:dyDescent="0.2">
      <c r="B194" s="512">
        <f ca="1">MS_min</f>
        <v>2.4170096915877433</v>
      </c>
      <c r="C194" s="514">
        <f>Cn</f>
        <v>16.203642049332345</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462</v>
      </c>
    </row>
    <row r="226" spans="1:1" x14ac:dyDescent="0.2">
      <c r="A226" s="24" t="s">
        <v>475</v>
      </c>
    </row>
    <row r="228" spans="1:1" x14ac:dyDescent="0.2">
      <c r="A228" s="24" t="s">
        <v>476</v>
      </c>
    </row>
    <row r="230" spans="1:1" x14ac:dyDescent="0.2">
      <c r="A230" s="24" t="s">
        <v>477</v>
      </c>
    </row>
    <row r="232" spans="1:1" x14ac:dyDescent="0.2">
      <c r="A232" s="24" t="s">
        <v>478</v>
      </c>
    </row>
    <row r="233" spans="1:1" x14ac:dyDescent="0.2">
      <c r="A233" s="24" t="s">
        <v>479</v>
      </c>
    </row>
    <row r="234" spans="1:1" x14ac:dyDescent="0.2">
      <c r="A234" s="24" t="s">
        <v>480</v>
      </c>
    </row>
    <row r="235" spans="1:1" x14ac:dyDescent="0.2">
      <c r="A235" s="24" t="s">
        <v>481</v>
      </c>
    </row>
    <row r="236" spans="1:1" x14ac:dyDescent="0.2">
      <c r="A236" s="24" t="s">
        <v>482</v>
      </c>
    </row>
    <row r="237" spans="1:1" x14ac:dyDescent="0.2">
      <c r="A237" s="24" t="s">
        <v>483</v>
      </c>
    </row>
    <row r="238" spans="1:1" x14ac:dyDescent="0.2">
      <c r="A238" s="24" t="s">
        <v>183</v>
      </c>
    </row>
    <row r="239" spans="1:1" x14ac:dyDescent="0.2">
      <c r="A239" s="24" t="s">
        <v>484</v>
      </c>
    </row>
    <row r="240" spans="1:1" x14ac:dyDescent="0.2">
      <c r="A240" s="24" t="s">
        <v>485</v>
      </c>
    </row>
    <row r="241" spans="1:1" x14ac:dyDescent="0.2">
      <c r="A241" s="24" t="s">
        <v>183</v>
      </c>
    </row>
    <row r="242" spans="1:1" x14ac:dyDescent="0.2">
      <c r="A242" s="24" t="s">
        <v>486</v>
      </c>
    </row>
    <row r="244" spans="1:1" x14ac:dyDescent="0.2">
      <c r="A244" s="24" t="s">
        <v>487</v>
      </c>
    </row>
    <row r="246" spans="1:1" x14ac:dyDescent="0.2">
      <c r="A246" s="24" t="s">
        <v>488</v>
      </c>
    </row>
    <row r="248" spans="1:1" x14ac:dyDescent="0.2">
      <c r="A248" s="24" t="s">
        <v>489</v>
      </c>
    </row>
    <row r="249" spans="1:1" x14ac:dyDescent="0.2">
      <c r="A249" s="24" t="s">
        <v>490</v>
      </c>
    </row>
    <row r="250" spans="1:1" x14ac:dyDescent="0.2">
      <c r="A250" s="24" t="s">
        <v>491</v>
      </c>
    </row>
    <row r="251" spans="1:1" x14ac:dyDescent="0.2">
      <c r="A251" s="24" t="s">
        <v>492</v>
      </c>
    </row>
    <row r="252" spans="1:1" x14ac:dyDescent="0.2">
      <c r="A252" s="24" t="s">
        <v>493</v>
      </c>
    </row>
    <row r="254" spans="1:1" x14ac:dyDescent="0.2">
      <c r="A254" s="24" t="s">
        <v>494</v>
      </c>
    </row>
    <row r="255" spans="1:1" x14ac:dyDescent="0.2">
      <c r="A255" s="24" t="s">
        <v>495</v>
      </c>
    </row>
    <row r="256" spans="1:1" x14ac:dyDescent="0.2">
      <c r="A256" s="24" t="s">
        <v>496</v>
      </c>
    </row>
    <row r="257" spans="1:1" x14ac:dyDescent="0.2">
      <c r="A257" s="24" t="s">
        <v>497</v>
      </c>
    </row>
    <row r="258" spans="1:1" x14ac:dyDescent="0.2">
      <c r="A258" s="24" t="s">
        <v>498</v>
      </c>
    </row>
    <row r="261" spans="1:1" x14ac:dyDescent="0.2">
      <c r="A261" s="24" t="s">
        <v>499</v>
      </c>
    </row>
    <row r="262" spans="1:1" x14ac:dyDescent="0.2">
      <c r="A262" s="24" t="s">
        <v>500</v>
      </c>
    </row>
    <row r="263" spans="1:1" x14ac:dyDescent="0.2">
      <c r="A263" s="24" t="s">
        <v>501</v>
      </c>
    </row>
    <row r="264" spans="1:1" x14ac:dyDescent="0.2">
      <c r="A264" s="24" t="s">
        <v>502</v>
      </c>
    </row>
    <row r="265" spans="1:1" x14ac:dyDescent="0.2">
      <c r="A265" s="24" t="s">
        <v>503</v>
      </c>
    </row>
    <row r="267" spans="1:1" x14ac:dyDescent="0.2">
      <c r="A267" s="24" t="s">
        <v>496</v>
      </c>
    </row>
    <row r="268" spans="1:1" x14ac:dyDescent="0.2">
      <c r="A268" s="24" t="s">
        <v>497</v>
      </c>
    </row>
    <row r="269" spans="1:1" x14ac:dyDescent="0.2">
      <c r="A269" s="24" t="s">
        <v>504</v>
      </c>
    </row>
    <row r="272" spans="1:1" x14ac:dyDescent="0.2">
      <c r="A272" s="24" t="s">
        <v>464</v>
      </c>
    </row>
    <row r="273" spans="1:1" x14ac:dyDescent="0.2">
      <c r="A273" s="24" t="s">
        <v>465</v>
      </c>
    </row>
    <row r="275" spans="1:1" x14ac:dyDescent="0.2">
      <c r="A275" s="24" t="s">
        <v>505</v>
      </c>
    </row>
    <row r="277" spans="1:1" x14ac:dyDescent="0.2">
      <c r="A277" s="24" t="s">
        <v>504</v>
      </c>
    </row>
    <row r="280" spans="1:1" x14ac:dyDescent="0.2">
      <c r="A280" s="24" t="s">
        <v>466</v>
      </c>
    </row>
    <row r="281" spans="1:1" x14ac:dyDescent="0.2">
      <c r="A281" s="24" t="s">
        <v>467</v>
      </c>
    </row>
    <row r="282" spans="1:1" x14ac:dyDescent="0.2">
      <c r="A282" s="24" t="s">
        <v>506</v>
      </c>
    </row>
    <row r="283" spans="1:1" x14ac:dyDescent="0.2">
      <c r="A283" s="24" t="s">
        <v>507</v>
      </c>
    </row>
    <row r="284" spans="1:1" x14ac:dyDescent="0.2">
      <c r="A284" s="24" t="s">
        <v>504</v>
      </c>
    </row>
    <row r="285" spans="1:1" x14ac:dyDescent="0.2">
      <c r="A285" s="24" t="s">
        <v>468</v>
      </c>
    </row>
    <row r="287" spans="1:1" x14ac:dyDescent="0.2">
      <c r="A287" s="24" t="s">
        <v>508</v>
      </c>
    </row>
    <row r="288" spans="1:1" x14ac:dyDescent="0.2">
      <c r="A288" s="24" t="s">
        <v>506</v>
      </c>
    </row>
    <row r="289" spans="1:1" x14ac:dyDescent="0.2">
      <c r="A289" s="24" t="s">
        <v>509</v>
      </c>
    </row>
    <row r="291" spans="1:1" x14ac:dyDescent="0.2">
      <c r="A291" s="24" t="s">
        <v>504</v>
      </c>
    </row>
    <row r="294" spans="1:1" x14ac:dyDescent="0.2">
      <c r="A294" s="24" t="s">
        <v>510</v>
      </c>
    </row>
    <row r="295" spans="1:1" x14ac:dyDescent="0.2">
      <c r="A295" s="24" t="s">
        <v>511</v>
      </c>
    </row>
    <row r="296" spans="1:1" x14ac:dyDescent="0.2">
      <c r="A296" s="24" t="s">
        <v>512</v>
      </c>
    </row>
    <row r="298" spans="1:1" x14ac:dyDescent="0.2">
      <c r="A298" s="24" t="s">
        <v>504</v>
      </c>
    </row>
    <row r="301" spans="1:1" x14ac:dyDescent="0.2">
      <c r="A301" s="24" t="s">
        <v>513</v>
      </c>
    </row>
    <row r="302" spans="1:1" x14ac:dyDescent="0.2">
      <c r="A302" s="24" t="s">
        <v>514</v>
      </c>
    </row>
    <row r="304" spans="1:1" x14ac:dyDescent="0.2">
      <c r="A304" s="24" t="s">
        <v>515</v>
      </c>
    </row>
    <row r="305" spans="1:1" x14ac:dyDescent="0.2">
      <c r="A305" s="24" t="s">
        <v>516</v>
      </c>
    </row>
    <row r="306" spans="1:1" x14ac:dyDescent="0.2">
      <c r="A306" s="24" t="s">
        <v>504</v>
      </c>
    </row>
    <row r="309" spans="1:1" x14ac:dyDescent="0.2">
      <c r="A309" s="24" t="s">
        <v>513</v>
      </c>
    </row>
    <row r="310" spans="1:1" x14ac:dyDescent="0.2">
      <c r="A310" s="24" t="s">
        <v>517</v>
      </c>
    </row>
    <row r="311" spans="1:1" x14ac:dyDescent="0.2">
      <c r="A311" s="24" t="s">
        <v>513</v>
      </c>
    </row>
    <row r="312" spans="1:1" x14ac:dyDescent="0.2">
      <c r="A312" s="24" t="s">
        <v>518</v>
      </c>
    </row>
    <row r="314" spans="1:1" x14ac:dyDescent="0.2">
      <c r="A314" s="24" t="s">
        <v>519</v>
      </c>
    </row>
    <row r="316" spans="1:1" x14ac:dyDescent="0.2">
      <c r="A316" s="24" t="s">
        <v>504</v>
      </c>
    </row>
    <row r="319" spans="1:1" x14ac:dyDescent="0.2">
      <c r="A319" s="24" t="s">
        <v>513</v>
      </c>
    </row>
    <row r="320" spans="1:1" x14ac:dyDescent="0.2">
      <c r="A320" s="24" t="s">
        <v>520</v>
      </c>
    </row>
    <row r="321" spans="1:1" x14ac:dyDescent="0.2">
      <c r="A321" s="24" t="s">
        <v>521</v>
      </c>
    </row>
    <row r="322" spans="1:1" x14ac:dyDescent="0.2">
      <c r="A322" s="24" t="s">
        <v>522</v>
      </c>
    </row>
    <row r="324" spans="1:1" x14ac:dyDescent="0.2">
      <c r="A324" s="24" t="s">
        <v>504</v>
      </c>
    </row>
    <row r="326" spans="1:1" x14ac:dyDescent="0.2">
      <c r="A326" s="24" t="s">
        <v>463</v>
      </c>
    </row>
    <row r="329" spans="1:1" x14ac:dyDescent="0.2">
      <c r="A329" s="24" t="s">
        <v>469</v>
      </c>
    </row>
    <row r="330" spans="1:1" x14ac:dyDescent="0.2">
      <c r="A330" s="24" t="s">
        <v>470</v>
      </c>
    </row>
    <row r="331" spans="1:1" x14ac:dyDescent="0.2">
      <c r="A331" s="24" t="s">
        <v>523</v>
      </c>
    </row>
    <row r="332" spans="1:1" x14ac:dyDescent="0.2">
      <c r="A332" s="24" t="s">
        <v>524</v>
      </c>
    </row>
    <row r="333" spans="1:1" x14ac:dyDescent="0.2">
      <c r="A333" s="24" t="s">
        <v>525</v>
      </c>
    </row>
    <row r="334" spans="1:1" x14ac:dyDescent="0.2">
      <c r="A334" s="24" t="s">
        <v>526</v>
      </c>
    </row>
    <row r="335" spans="1:1" x14ac:dyDescent="0.2">
      <c r="A335" s="24" t="s">
        <v>527</v>
      </c>
    </row>
    <row r="336" spans="1:1" x14ac:dyDescent="0.2">
      <c r="A336" s="24" t="s">
        <v>480</v>
      </c>
    </row>
    <row r="337" spans="1:1" x14ac:dyDescent="0.2">
      <c r="A337" s="24" t="s">
        <v>471</v>
      </c>
    </row>
    <row r="340" spans="1:1" x14ac:dyDescent="0.2">
      <c r="A340" s="24" t="s">
        <v>472</v>
      </c>
    </row>
    <row r="342" spans="1:1" x14ac:dyDescent="0.2">
      <c r="A342" s="24" t="s">
        <v>528</v>
      </c>
    </row>
    <row r="343" spans="1:1" x14ac:dyDescent="0.2">
      <c r="A343" s="24" t="s">
        <v>529</v>
      </c>
    </row>
    <row r="344" spans="1:1" x14ac:dyDescent="0.2">
      <c r="A344" s="24" t="s">
        <v>530</v>
      </c>
    </row>
    <row r="345" spans="1:1" x14ac:dyDescent="0.2">
      <c r="A345" s="24" t="s">
        <v>531</v>
      </c>
    </row>
    <row r="346" spans="1:1" x14ac:dyDescent="0.2">
      <c r="A346" s="24" t="s">
        <v>532</v>
      </c>
    </row>
    <row r="347" spans="1:1" x14ac:dyDescent="0.2">
      <c r="A347" s="24" t="s">
        <v>480</v>
      </c>
    </row>
    <row r="348" spans="1:1" x14ac:dyDescent="0.2">
      <c r="A348" s="24" t="s">
        <v>473</v>
      </c>
    </row>
    <row r="349" spans="1:1" x14ac:dyDescent="0.2">
      <c r="A349" s="24" t="s">
        <v>533</v>
      </c>
    </row>
    <row r="350" spans="1:1" x14ac:dyDescent="0.2">
      <c r="A350" s="24" t="s">
        <v>534</v>
      </c>
    </row>
    <row r="352" spans="1:1" x14ac:dyDescent="0.2">
      <c r="A352" s="24" t="s">
        <v>504</v>
      </c>
    </row>
    <row r="355" spans="1:1" x14ac:dyDescent="0.2">
      <c r="A355" s="24" t="s">
        <v>463</v>
      </c>
    </row>
    <row r="361" spans="1:1" x14ac:dyDescent="0.2">
      <c r="A361" s="24" t="s">
        <v>474</v>
      </c>
    </row>
  </sheetData>
  <dataConsolidate/>
  <mergeCells count="56">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 ref="C27:D27"/>
    <mergeCell ref="C19:D19"/>
    <mergeCell ref="C20:D20"/>
    <mergeCell ref="O23:P23"/>
    <mergeCell ref="O24:P24"/>
    <mergeCell ref="C23:D23"/>
    <mergeCell ref="C22:D22"/>
    <mergeCell ref="C24:D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zoomScaleNormal="100" workbookViewId="0">
      <selection activeCell="C28" sqref="C28"/>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632" t="s">
        <v>0</v>
      </c>
      <c r="D2" s="632"/>
      <c r="F2" s="3"/>
      <c r="J2" s="4"/>
      <c r="N2" s="57"/>
    </row>
    <row r="3" spans="1:14" ht="12.75" customHeight="1" x14ac:dyDescent="0.2">
      <c r="A3" s="56"/>
      <c r="B3" s="2"/>
      <c r="C3" s="632"/>
      <c r="D3" s="632"/>
      <c r="H3" s="5"/>
      <c r="J3" s="4"/>
      <c r="N3" s="57"/>
    </row>
    <row r="4" spans="1:14" ht="12.75" customHeight="1" x14ac:dyDescent="0.2">
      <c r="A4" s="56"/>
      <c r="B4" s="2"/>
      <c r="C4" s="636" t="str">
        <f>IF(Lang="Français","Trajectographie de fusée",IF(Lang="English","Rocket Trajectography",""))</f>
        <v>Trajectographie de fusée</v>
      </c>
      <c r="D4" s="636"/>
      <c r="H4" s="5"/>
      <c r="J4" s="4"/>
      <c r="N4" s="57"/>
    </row>
    <row r="5" spans="1:14" ht="12.75" customHeight="1" x14ac:dyDescent="0.2">
      <c r="A5" s="56"/>
      <c r="B5" s="2"/>
      <c r="C5" s="631"/>
      <c r="D5" s="631"/>
      <c r="J5" s="4"/>
      <c r="N5" s="57"/>
    </row>
    <row r="6" spans="1:14" ht="12.95" customHeight="1" x14ac:dyDescent="0.2">
      <c r="A6" s="56"/>
      <c r="B6" s="87"/>
      <c r="C6" s="635" t="str">
        <f>IF(Lang="Français","Remplir les cases jaunes",IF(Lang="English","Fill-in yellow cells only",""))</f>
        <v>Remplir les cases jaunes</v>
      </c>
      <c r="D6" s="635"/>
      <c r="J6" s="4"/>
      <c r="N6" s="57"/>
    </row>
    <row r="7" spans="1:14" x14ac:dyDescent="0.2">
      <c r="A7" s="56"/>
      <c r="B7" s="6"/>
      <c r="C7" s="612" t="str">
        <f>IF(Lang="Français","Fusée",IF(Lang="English","Rocket",""))</f>
        <v>Fusée</v>
      </c>
      <c r="D7" s="612"/>
      <c r="N7" s="58"/>
    </row>
    <row r="8" spans="1:14" ht="12.75" customHeight="1" x14ac:dyDescent="0.25">
      <c r="A8" s="56"/>
      <c r="B8" s="140" t="str">
        <f>IF(Lang="Français","Nom",IF(Lang="English","Name",""))</f>
        <v>Nom</v>
      </c>
      <c r="C8" s="633" t="str">
        <f>Nom</f>
        <v>SP02</v>
      </c>
      <c r="D8" s="633"/>
      <c r="E8" s="5"/>
      <c r="F8" s="5"/>
      <c r="J8" s="4"/>
      <c r="N8" s="57"/>
    </row>
    <row r="9" spans="1:14" ht="12.75" customHeight="1" x14ac:dyDescent="0.25">
      <c r="A9" s="59"/>
      <c r="B9" s="140" t="s">
        <v>4</v>
      </c>
      <c r="C9" s="634" t="str">
        <f>Club</f>
        <v>L'AéroIPSA</v>
      </c>
      <c r="D9" s="634"/>
      <c r="F9" s="5"/>
      <c r="N9" s="58"/>
    </row>
    <row r="10" spans="1:14" ht="12.75" customHeight="1" x14ac:dyDescent="0.25">
      <c r="A10" s="59"/>
      <c r="B10" s="141" t="s">
        <v>562</v>
      </c>
      <c r="C10" s="630" t="str">
        <f>Matricule</f>
        <v>FX0</v>
      </c>
      <c r="D10" s="630"/>
      <c r="F10" s="5"/>
      <c r="N10" s="58"/>
    </row>
    <row r="11" spans="1:14" ht="12.75" customHeight="1" x14ac:dyDescent="0.2">
      <c r="A11" s="59"/>
      <c r="B11" s="140" t="str">
        <f>IF(Lang="Français","Masse totale",IF(Lang="English","Total Mass",""))</f>
        <v>Masse totale</v>
      </c>
      <c r="C11" s="607">
        <f ca="1">MassePlein</f>
        <v>6.0259999999999998</v>
      </c>
      <c r="D11" s="607"/>
      <c r="F11" s="5"/>
      <c r="N11" s="58"/>
    </row>
    <row r="12" spans="1:14" ht="12.75" customHeight="1" x14ac:dyDescent="0.2">
      <c r="A12" s="59"/>
      <c r="B12" s="227" t="str">
        <f>IF(Lang="Français","Propulseur",IF(Lang="English","Motor",""))</f>
        <v>Propulseur</v>
      </c>
      <c r="C12" s="610" t="str">
        <f>Propu</f>
        <v>Barasinga (Pro54-5G C)</v>
      </c>
      <c r="D12" s="611"/>
      <c r="F12" s="5"/>
      <c r="N12" s="58"/>
    </row>
    <row r="13" spans="1:14" ht="12.75" customHeight="1" x14ac:dyDescent="0.2">
      <c r="A13" s="59"/>
      <c r="N13" s="58"/>
    </row>
    <row r="14" spans="1:14" ht="12.75" customHeight="1" x14ac:dyDescent="0.2">
      <c r="A14" s="59"/>
      <c r="B14"/>
      <c r="C14" s="612" t="str">
        <f>IF(Lang="Français","Traînée Aérdynamique",IF(Lang="English","Drag",""))</f>
        <v>Traînée Aérdynamique</v>
      </c>
      <c r="D14" s="612"/>
      <c r="N14" s="58"/>
    </row>
    <row r="15" spans="1:14" ht="12.75" customHeight="1" x14ac:dyDescent="0.2">
      <c r="A15" s="59"/>
      <c r="B15" s="140" t="s">
        <v>40</v>
      </c>
      <c r="C15" s="613">
        <f>(PI()*D_ref^2/4+E_ail*ep_ail*Q_ail)/10^6</f>
        <v>1.0814866535306802E-2</v>
      </c>
      <c r="D15" s="613"/>
      <c r="N15" s="58"/>
    </row>
    <row r="16" spans="1:14" ht="12.75" customHeight="1" x14ac:dyDescent="0.2">
      <c r="A16" s="59"/>
      <c r="B16" s="141" t="s">
        <v>5</v>
      </c>
      <c r="C16" s="605">
        <v>0.6</v>
      </c>
      <c r="D16" s="606"/>
      <c r="N16" s="58"/>
    </row>
    <row r="17" spans="1:18" ht="12.75" customHeight="1" x14ac:dyDescent="0.2">
      <c r="A17" s="59"/>
      <c r="N17" s="58"/>
    </row>
    <row r="18" spans="1:18" ht="12.75" customHeight="1" x14ac:dyDescent="0.2">
      <c r="A18" s="59"/>
      <c r="B18"/>
      <c r="C18" s="612" t="str">
        <f>IF(Lang="Français","Rampe de Lancement",IF(Lang="English","Launch Pad",""))</f>
        <v>Rampe de Lancement</v>
      </c>
      <c r="D18" s="612"/>
      <c r="N18" s="58"/>
    </row>
    <row r="19" spans="1:18" ht="12.75" customHeight="1" x14ac:dyDescent="0.2">
      <c r="A19" s="59"/>
      <c r="B19" s="140" t="str">
        <f>IF(Lang="Français","Longueur",IF(Lang="English","Length",""))</f>
        <v>Longueur</v>
      </c>
      <c r="C19" s="609">
        <f>IF(RIGHT(Type_fusee,1)=".",4, IF(LEFT(Type_fusee,4)="Mini",2.5, IF(LEFT(Type_fusee,5)="Micro",1, IF(RIGHT(Type_fusee,1)=" ",0.1,IF(LEFT(Type_fusee,1)="R",3, 2.5)))))</f>
        <v>4</v>
      </c>
      <c r="D19" s="609"/>
      <c r="N19" s="58"/>
    </row>
    <row r="20" spans="1:18" ht="12.75" customHeight="1" x14ac:dyDescent="0.2">
      <c r="A20" s="59"/>
      <c r="B20" s="140" t="str">
        <f>IF(Lang="Français","Élévation",IF(Lang="English","Angle /horizon",""))</f>
        <v>Élévation</v>
      </c>
      <c r="C20" s="608">
        <v>80</v>
      </c>
      <c r="D20" s="608"/>
      <c r="N20" s="58"/>
    </row>
    <row r="21" spans="1:18" ht="12.75" customHeight="1" x14ac:dyDescent="0.2">
      <c r="A21" s="59"/>
      <c r="B21" s="140" t="s">
        <v>6</v>
      </c>
      <c r="C21" s="609">
        <v>0</v>
      </c>
      <c r="D21" s="609"/>
      <c r="N21" s="58"/>
    </row>
    <row r="22" spans="1:18" x14ac:dyDescent="0.2">
      <c r="A22" s="59"/>
      <c r="F22" s="384" t="str">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
      </c>
      <c r="N22" s="58"/>
    </row>
    <row r="23" spans="1:18" x14ac:dyDescent="0.2">
      <c r="A23" s="59"/>
      <c r="C23" s="614" t="str">
        <f>IF(Lang="Français","DescenteSousParachute",IF(Lang="English","Over Parachute",""))</f>
        <v>DescenteSousParachute</v>
      </c>
      <c r="D23" s="615"/>
      <c r="F23" s="4"/>
      <c r="G23" s="50">
        <f ca="1">TODAY()</f>
        <v>46116</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616" t="str">
        <f>IF(Lang="Français","Sortie de Rampe",IF(Lang="English","Launch-Pad Exit",""))</f>
        <v>Sortie de Rampe</v>
      </c>
      <c r="G24" s="617"/>
      <c r="H24" s="491"/>
      <c r="I24" s="491"/>
      <c r="J24" s="491"/>
      <c r="K24" s="492">
        <f ca="1">INDEX(vit_xz,MATCH("Sortie de rampe",Event,0))</f>
        <v>100.8462813403362</v>
      </c>
      <c r="L24" s="493"/>
      <c r="M24" s="500"/>
      <c r="N24" s="58"/>
    </row>
    <row r="25" spans="1:18" x14ac:dyDescent="0.2">
      <c r="A25" s="59"/>
      <c r="B25" s="466" t="str">
        <f>IF(Lang="Français","Masse",IF(Lang="English","Mass",""))</f>
        <v>Masse</v>
      </c>
      <c r="C25" s="467">
        <f ca="1">IF(Nb_sat="0 satellite",MasseVide,MasseVide-m_satellite)</f>
        <v>4.9930000000000003</v>
      </c>
      <c r="D25" s="480">
        <f>IF(RIGHT(Type_fusee,1)=".",1,0.15)</f>
        <v>1</v>
      </c>
      <c r="F25" s="619" t="str">
        <f>IF(Lang="Français","Vit max &amp; Acc max",IF(Lang="English","Max Velocity &amp; Acc",""))</f>
        <v>Vit max &amp; Acc max</v>
      </c>
      <c r="G25" s="599"/>
      <c r="H25" s="115"/>
      <c r="I25" s="115"/>
      <c r="J25" s="115"/>
      <c r="K25" s="158">
        <f ca="1">MAX(vit_xz)</f>
        <v>302.04547756325957</v>
      </c>
      <c r="L25" s="494">
        <f ca="1">MAX(acc_xz)</f>
        <v>131.75519376816951</v>
      </c>
      <c r="M25" s="500"/>
      <c r="N25" s="58"/>
    </row>
    <row r="26" spans="1:18" x14ac:dyDescent="0.2">
      <c r="A26" s="59"/>
      <c r="B26" s="469" t="str">
        <f>IF(Lang="Français","Dépotage",IF(Lang="English","Delay",""))</f>
        <v>Dépotage</v>
      </c>
      <c r="C26" s="505" t="s">
        <v>407</v>
      </c>
      <c r="D26" s="535"/>
      <c r="F26" s="620" t="str">
        <f>IF(Lang="Français","Largage du satellite",IF(Lang="English","Satellite separation",""))</f>
        <v>Largage du satellite</v>
      </c>
      <c r="G26" s="601"/>
      <c r="H26" s="152">
        <f>IF(T_satellite&lt;&gt;0,T_satellite,"")</f>
        <v>4.7</v>
      </c>
      <c r="I26" s="156">
        <f ca="1">IF(T_satellite&lt;&gt;0,INDEX(pos_z,MATCH("Satellite",Event_sat,0)),"")</f>
        <v>1120.9675208855283</v>
      </c>
      <c r="J26" s="154">
        <f ca="1">IF(T_satellite&lt;&gt;0,INDEX(pos_x,MATCH("Satellite",Event_sat,0)),"")</f>
        <v>223.03941830813383</v>
      </c>
      <c r="K26" s="159">
        <f ca="1">IF(T_satellite&lt;&gt;0,INDEX(vit_xz,MATCH("Satellite",Event_sat,0)),"")</f>
        <v>219.12684380326775</v>
      </c>
      <c r="L26" s="495"/>
      <c r="M26" s="485">
        <f ca="1">1/2*Rho_moyen*1*V_ouv_sat^2*S_satellite</f>
        <v>2941.0151376048798</v>
      </c>
      <c r="N26" s="58"/>
    </row>
    <row r="27" spans="1:18" x14ac:dyDescent="0.2">
      <c r="A27" s="59"/>
      <c r="B27" s="468" t="str">
        <f>IF(Lang="Français","Ouverture para",IF(Lang="English","Opening time",""))</f>
        <v>Ouverture para</v>
      </c>
      <c r="C27" s="507">
        <v>16.399999999999999</v>
      </c>
      <c r="D27" s="507">
        <v>4.7</v>
      </c>
      <c r="F27" s="619" t="s">
        <v>15</v>
      </c>
      <c r="G27" s="599"/>
      <c r="H27" s="153">
        <f ca="1">INDEX(t,MATCH("Apogée",Event,0))</f>
        <v>17.399999999999935</v>
      </c>
      <c r="I27" s="157">
        <f ca="1">INDEX(pos_z,MATCH("Apogée",Event,0))</f>
        <v>2142.3631619277116</v>
      </c>
      <c r="J27" s="155">
        <f ca="1">INDEX(pos_x,MATCH("Apogée",Event,0))</f>
        <v>581.92578266910311</v>
      </c>
      <c r="K27" s="160">
        <f ca="1">INDEX(vit_xz,MATCH("Apogée",Event,0))</f>
        <v>21.713811068465162</v>
      </c>
      <c r="L27" s="496"/>
      <c r="M27" s="500"/>
      <c r="N27" s="58"/>
    </row>
    <row r="28" spans="1:18" x14ac:dyDescent="0.2">
      <c r="A28" s="59"/>
      <c r="B28" s="534" t="s">
        <v>557</v>
      </c>
      <c r="C28" s="507" t="s">
        <v>559</v>
      </c>
      <c r="D28" s="507"/>
      <c r="F28" s="618" t="str">
        <f>IF(Lang="Français","Ouverture parachute fusée",IF(Lang="English","Rocket parachute opening",""))</f>
        <v>Ouverture parachute fusée</v>
      </c>
      <c r="G28" s="604"/>
      <c r="H28" s="152">
        <f>T_para</f>
        <v>16.399999999999999</v>
      </c>
      <c r="I28" s="156">
        <f ca="1">INDEX(pos_z,MATCH("Para",Event_para,0))</f>
        <v>2137.2568655522532</v>
      </c>
      <c r="J28" s="486">
        <f ca="1">INDEX(pos_x,MATCH("Para",Event_para,0))</f>
        <v>560.05631806428255</v>
      </c>
      <c r="K28" s="159">
        <f ca="1">INDEX(vit_xz,MATCH("Para",Event_para,0))</f>
        <v>24.22333923848187</v>
      </c>
      <c r="L28" s="495"/>
      <c r="M28" s="485">
        <f ca="1">1/2*Rho_moyen*1*V_ouverture^2*S_para</f>
        <v>172.69012653828008</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0.48049999999999998</v>
      </c>
      <c r="D29" s="17">
        <f>IF(RIGHT(Type_fusee,1)=".",0.1,0.02)</f>
        <v>0.1</v>
      </c>
      <c r="F29" s="623" t="str">
        <f>IF(Lang="Français","Impact balistique",IF(Lang="English","Balistic Impact",""))</f>
        <v>Impact balistique</v>
      </c>
      <c r="G29" s="624"/>
      <c r="H29" s="497">
        <f ca="1">INDEX(t,MATCH("Impact balistique",Event,0))</f>
        <v>43.900000000000311</v>
      </c>
      <c r="I29" s="517" t="s">
        <v>427</v>
      </c>
      <c r="J29" s="487">
        <f ca="1">INDEX(pos_x,MATCH("Impact balistique",Event,0))</f>
        <v>928.20926186620727</v>
      </c>
      <c r="K29" s="501">
        <f ca="1">K47</f>
        <v>111.57311090539507</v>
      </c>
      <c r="L29" s="498"/>
      <c r="M29" s="502">
        <f ca="1">0.5*m_vide*K29^2</f>
        <v>31077.827735999093</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str">
        <f ca="1">IF(OR(AND(Vsortie_de_rampe&lt;20,LEFT(Type_fusee,1)="F"),AND(Vsortie_de_rampe&lt;18, OR(LEFT(Type_fusee,1)=",",LEFT(Type_fusee,4)="Mini",LEFT(Type_fusee,1)="R"))),IF(Lang="Français","Fusée trop lourde ou rampe trop courte !","Rocket too heavy or launch pad too small!"),"")</f>
        <v/>
      </c>
    </row>
    <row r="32" spans="1:18" x14ac:dyDescent="0.2">
      <c r="A32" s="59"/>
      <c r="B32" s="133" t="str">
        <f>IF(Lang="Français","Vitesse descente",IF(Lang="English","Fall velocity",""))</f>
        <v>Vitesse descente</v>
      </c>
      <c r="C32" s="424">
        <f ca="1">SQRT(2*m_vide*g/Rho_moyen/S_para/Cx_para)</f>
        <v>12.900767376069568</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165.66897171689052</v>
      </c>
      <c r="D33" s="132">
        <f ca="1">IF(V_satellite&lt;&gt;0,Alt_sat/V_satellite,0)</f>
        <v>88.575083879971885</v>
      </c>
      <c r="H33" s="625" t="str">
        <f>IF(Lang="Français","Pour localiser la fusée","To locate the rocket")</f>
        <v>Pour localiser la fusée</v>
      </c>
      <c r="I33" s="625"/>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182.06897171689053</v>
      </c>
      <c r="D34" s="132">
        <f ca="1">T_satellite+Dt_satellite</f>
        <v>93.275083879971888</v>
      </c>
      <c r="F34" s="625" t="str">
        <f>IF(Lang="Français","Couleur fuselage/coiffe","Body/Nose color")</f>
        <v>Couleur fuselage/coiffe</v>
      </c>
      <c r="G34" s="625"/>
      <c r="H34" s="621" t="s">
        <v>266</v>
      </c>
      <c r="I34" s="622"/>
      <c r="J34" s="1"/>
      <c r="K34" s="1"/>
      <c r="L34" s="1"/>
      <c r="M34" s="1"/>
      <c r="N34" s="394"/>
    </row>
    <row r="35" spans="1:16" x14ac:dyDescent="0.2">
      <c r="A35" s="74"/>
      <c r="B35" s="133" t="str">
        <f>IF(Lang="Français","Déport latéral",IF(Lang="English","Lateral shift",""))</f>
        <v>Déport latéral</v>
      </c>
      <c r="C35" s="151">
        <f ca="1">Alt_para*V_vent/V_para</f>
        <v>828.3448585844526</v>
      </c>
      <c r="D35" s="151">
        <f ca="1">IF(V_satellite&lt;&gt;0,Alt_sat*V_vent_sat/V_satellite,0)</f>
        <v>442.87541939985937</v>
      </c>
      <c r="F35" s="625" t="str">
        <f>IF(Lang="Français","Couleur parachute fusée","Rocket parachute color")</f>
        <v>Couleur parachute fusée</v>
      </c>
      <c r="G35" s="625"/>
      <c r="H35" s="621" t="s">
        <v>267</v>
      </c>
      <c r="I35" s="622"/>
      <c r="J35"/>
      <c r="K35"/>
      <c r="L35"/>
      <c r="M35"/>
      <c r="N35" s="394" t="str">
        <f>IF(Lang="Français","fichier initial","Initial file")</f>
        <v>fichier initial</v>
      </c>
      <c r="P35"/>
    </row>
    <row r="36" spans="1:16" x14ac:dyDescent="0.2">
      <c r="A36" s="59"/>
      <c r="F36" s="625" t="str">
        <f>IF(Lang="Français","Couleur parachute satellite","Satellite parachute color")</f>
        <v>Couleur parachute satellite</v>
      </c>
      <c r="G36" s="625"/>
      <c r="H36" s="629" t="s">
        <v>158</v>
      </c>
      <c r="I36" s="629"/>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566</v>
      </c>
    </row>
    <row r="40" spans="1:16" x14ac:dyDescent="0.2">
      <c r="A40" s="626" t="str">
        <f>IF(Lang="Français","Calcul de la surface d'un parachute","Parachute surface calculation")</f>
        <v>Calcul de la surface d'un parachute</v>
      </c>
      <c r="B40" s="627"/>
      <c r="C40" s="627"/>
      <c r="D40" s="628"/>
      <c r="F40" s="626" t="str">
        <f>IF(Lang="Français","Résultats détaillés","Detailled results")</f>
        <v>Résultats détaillés</v>
      </c>
      <c r="G40" s="628"/>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598" t="str">
        <f>IF(Lang="Français","Décollage",IF(Lang="English","Lift-Off",""))</f>
        <v>Décollage</v>
      </c>
      <c r="G42" s="598"/>
      <c r="H42" s="150">
        <v>0</v>
      </c>
      <c r="I42" s="150">
        <v>0</v>
      </c>
      <c r="J42" s="150">
        <v>0</v>
      </c>
      <c r="K42" s="150">
        <v>100</v>
      </c>
      <c r="L42" s="148" t="s">
        <v>14</v>
      </c>
      <c r="M42" s="149">
        <f>Beta_rampe</f>
        <v>80</v>
      </c>
    </row>
    <row r="43" spans="1:16" x14ac:dyDescent="0.2">
      <c r="A43" s="161"/>
      <c r="B43" s="166" t="str">
        <f>IF(Lang="Français","Bord   'a'","Side length 'a'")</f>
        <v>Bord   'a'</v>
      </c>
      <c r="D43" s="162"/>
      <c r="F43" s="599" t="str">
        <f>IF(Lang="Français","Sortie de Rampe",IF(Lang="English","Launch-Pad Exit",""))</f>
        <v>Sortie de Rampe</v>
      </c>
      <c r="G43" s="599"/>
      <c r="H43" s="115">
        <f ca="1">INDEX(t,MATCH("Sortie de rampe",Event,0))</f>
        <v>0.03</v>
      </c>
      <c r="I43" s="115">
        <f ca="1">INDEX(pos_z,MATCH("Sortie de rampe",Event,0))</f>
        <v>2.9610860184747216</v>
      </c>
      <c r="J43" s="115">
        <f ca="1">INDEX(pos_x,MATCH("Sortie de rampe",Event,0))</f>
        <v>0.52211923500345592</v>
      </c>
      <c r="K43" s="116">
        <f ca="1">INDEX(vit_xz,MATCH("Sortie de rampe",Event,0))</f>
        <v>100.8462813403362</v>
      </c>
      <c r="L43" s="116">
        <f ca="1">INDEX(acc_xz,MATCH("Sortie de rampe",Event,0))</f>
        <v>57.850220516271428</v>
      </c>
      <c r="M43" s="116">
        <f ca="1">INDEX(BetaD,MATCH("Sortie de rampe",Event,0))</f>
        <v>80</v>
      </c>
    </row>
    <row r="44" spans="1:16" x14ac:dyDescent="0.2">
      <c r="A44" s="161"/>
      <c r="B44" s="167">
        <v>310</v>
      </c>
      <c r="D44" s="162"/>
      <c r="F44" s="599" t="str">
        <f>IF(Lang="Français","Vit max &amp; Acc max",IF(Lang="English","Max Velocity &amp; Acc",""))</f>
        <v>Vit max &amp; Acc max</v>
      </c>
      <c r="G44" s="599"/>
      <c r="H44" s="115" t="s">
        <v>14</v>
      </c>
      <c r="I44" s="115" t="s">
        <v>14</v>
      </c>
      <c r="J44" s="115" t="s">
        <v>14</v>
      </c>
      <c r="K44" s="117">
        <f ca="1">MAX(vit_xz)</f>
        <v>302.04547756325957</v>
      </c>
      <c r="L44" s="118">
        <f ca="1">MAX(acc_xz)</f>
        <v>131.75519376816951</v>
      </c>
      <c r="M44" s="116" t="s">
        <v>14</v>
      </c>
    </row>
    <row r="45" spans="1:16" x14ac:dyDescent="0.2">
      <c r="A45" s="161"/>
      <c r="B45" s="166" t="str">
        <f>IF(Lang="Français","Coté   'b'","Side width 'b'")</f>
        <v>Coté   'b'</v>
      </c>
      <c r="D45" s="162"/>
      <c r="F45" s="599" t="str">
        <f>IF(Lang="Français","Fin de Propulsion",IF(Lang="English","Motor Burn-Out",""))</f>
        <v>Fin de Propulsion</v>
      </c>
      <c r="G45" s="599"/>
      <c r="H45" s="116">
        <f ca="1">INDEX(t,MATCH("Fin de propulsion",Event,0))</f>
        <v>3.5999999999999672</v>
      </c>
      <c r="I45" s="119">
        <f ca="1">INDEX(pos_z,MATCH("Fin de propulsion",Event,0))</f>
        <v>854.97654215868852</v>
      </c>
      <c r="J45" s="119">
        <f ca="1">INDEX(pos_x,MATCH("Fin de propulsion",Event,0))</f>
        <v>166.9475165523227</v>
      </c>
      <c r="K45" s="119">
        <f ca="1">INDEX(vit_xz,MATCH("Fin de propulsion",Event,0))</f>
        <v>279.07737424127788</v>
      </c>
      <c r="L45" s="116">
        <f ca="1">INDEX(acc_xz,MATCH("Fin de propulsion",Event,0))</f>
        <v>66.838416462750018</v>
      </c>
      <c r="M45" s="116">
        <f ca="1">INDEX(BetaD,MATCH("Fin de propulsion",Event,0))</f>
        <v>78.330055630168857</v>
      </c>
    </row>
    <row r="46" spans="1:16" x14ac:dyDescent="0.2">
      <c r="A46" s="161"/>
      <c r="B46" s="168">
        <v>310</v>
      </c>
      <c r="D46" s="162"/>
      <c r="F46" s="599" t="s">
        <v>15</v>
      </c>
      <c r="G46" s="599"/>
      <c r="H46" s="118">
        <f ca="1">INDEX(t,MATCH("Apogée",Event,0))</f>
        <v>17.399999999999935</v>
      </c>
      <c r="I46" s="117">
        <f ca="1">INDEX(pos_z,MATCH("Apogée",Event,0))</f>
        <v>2142.3631619277116</v>
      </c>
      <c r="J46" s="120">
        <f ca="1">INDEX(pos_x,MATCH("Apogée",Event,0))</f>
        <v>581.92578266910311</v>
      </c>
      <c r="K46" s="120">
        <f ca="1">INDEX(vit_xz,MATCH("Apogée",Event,0))</f>
        <v>21.713811068465162</v>
      </c>
      <c r="L46" s="116">
        <f ca="1">INDEX(acc_xz,MATCH("Apogée",Event,0))</f>
        <v>9.8308461245880885</v>
      </c>
      <c r="M46" s="121">
        <f ca="1">INDEX(BetaD,MATCH("Apogée",Event,0))</f>
        <v>0.45511235503354008</v>
      </c>
    </row>
    <row r="47" spans="1:16" x14ac:dyDescent="0.2">
      <c r="A47" s="161"/>
      <c r="B47" s="169" t="s">
        <v>9</v>
      </c>
      <c r="D47" s="162"/>
      <c r="F47" s="602" t="str">
        <f>IF(Lang="Français","Impact balistique",IF(Lang="English","Balistic Impact",""))</f>
        <v>Impact balistique</v>
      </c>
      <c r="G47" s="602"/>
      <c r="H47" s="116">
        <f ca="1">INDEX(t,MATCH("Impact balistique",Event,0))</f>
        <v>43.900000000000311</v>
      </c>
      <c r="I47" s="148" t="s">
        <v>16</v>
      </c>
      <c r="J47" s="117">
        <f ca="1">INDEX(pos_x,MATCH("Impact balistique",Event,0))</f>
        <v>928.20926186620727</v>
      </c>
      <c r="K47" s="119">
        <f ca="1">INDEX(vit_xz,MATCH("Impact balistique",Event,0))</f>
        <v>111.57311090539507</v>
      </c>
      <c r="L47" s="116">
        <f ca="1">INDEX(acc_xz,MATCH("Impact balistique",Event,0))</f>
        <v>0.40795268335594759</v>
      </c>
      <c r="M47" s="116">
        <f ca="1">INDEX(BetaD,MATCH("Impact balistique",Event,0))</f>
        <v>-87.714719351838681</v>
      </c>
    </row>
    <row r="48" spans="1:16" x14ac:dyDescent="0.2">
      <c r="A48" s="161"/>
      <c r="B48" s="174">
        <f>(4*B44*B46+B44^2)/10^6</f>
        <v>0.48049999999999998</v>
      </c>
      <c r="D48" s="162"/>
      <c r="F48" s="604" t="str">
        <f>IF(Lang="Français","Ouverture parachute fusée",IF(Lang="English","Rocket parachute opening",""))</f>
        <v>Ouverture parachute fusée</v>
      </c>
      <c r="G48" s="604"/>
      <c r="H48" s="122">
        <f>T_para</f>
        <v>16.399999999999999</v>
      </c>
      <c r="I48" s="123">
        <f ca="1">INDEX(pos_z,MATCH("Para",Event_para,0))</f>
        <v>2137.2568655522532</v>
      </c>
      <c r="J48" s="123">
        <f ca="1">INDEX(pos_x,MATCH("Para",Event_para,0))</f>
        <v>560.05631806428255</v>
      </c>
      <c r="K48" s="123">
        <f ca="1">INDEX(vit_xz,MATCH("Para",Event_para,0))</f>
        <v>24.22333923848187</v>
      </c>
      <c r="L48" s="122">
        <f ca="1">INDEX(acc_xz,MATCH("Para",Event_para,0))</f>
        <v>9.9915859257994679</v>
      </c>
      <c r="M48" s="124">
        <f ca="1">INDEX(BetaD,MATCH("Para",Event_para,0))</f>
        <v>24.553292865498516</v>
      </c>
    </row>
    <row r="49" spans="1:13" x14ac:dyDescent="0.2">
      <c r="A49" s="161"/>
      <c r="D49" s="162"/>
      <c r="F49" s="603" t="str">
        <f>IF(Lang="Français","Impact fusée sous para.",IF(Lang="English","Impact of rocket with para. ",""))</f>
        <v>Impact fusée sous para.</v>
      </c>
      <c r="G49" s="603"/>
      <c r="H49" s="125">
        <f ca="1">T_para+Dt_para</f>
        <v>182.06897171689053</v>
      </c>
      <c r="I49" s="127" t="s">
        <v>16</v>
      </c>
      <c r="J49" s="126" t="str">
        <f ca="1">CONCATENATE(TEXT(X_para-Dx_para,"0")," | ",TEXT(X_para+Dx_para,"0"))</f>
        <v>-268 | 1388</v>
      </c>
      <c r="K49" s="126">
        <f ca="1">V_para</f>
        <v>12.900767376069568</v>
      </c>
      <c r="L49" s="128">
        <f>g</f>
        <v>9.81</v>
      </c>
      <c r="M49" s="128" t="s">
        <v>14</v>
      </c>
    </row>
    <row r="50" spans="1:13" x14ac:dyDescent="0.2">
      <c r="A50" s="161"/>
      <c r="D50" s="162"/>
      <c r="F50" s="600" t="str">
        <f>IF(Lang="Français","Largage du satellite",IF(Lang="English","Satellite separation",""))</f>
        <v>Largage du satellite</v>
      </c>
      <c r="G50" s="601"/>
      <c r="H50" s="122">
        <f>IF(T_satellite&lt;&gt;0,T_satellite,"")</f>
        <v>4.7</v>
      </c>
      <c r="I50" s="123">
        <f ca="1">IF(T_satellite&lt;&gt;0,INDEX(pos_z,MATCH("Satellite",Event_sat,0)),"")</f>
        <v>1120.9675208855283</v>
      </c>
      <c r="J50" s="129">
        <f ca="1">IF(T_satellite&lt;&gt;0,INDEX(pos_x,MATCH("Satellite",Event_sat,0)),"")</f>
        <v>223.03941830813383</v>
      </c>
      <c r="K50" s="123">
        <f ca="1">IF(T_satellite&lt;&gt;0,INDEX(vit_xz,MATCH("Satellite",Event_sat,0)),"")</f>
        <v>219.12684380326775</v>
      </c>
      <c r="L50" s="122">
        <f ca="1">IF(T_satellite&lt;&gt;0,INDEX(acc_xz,MATCH("Satellite",Event_sat,0)),"")</f>
        <v>45.305208790355145</v>
      </c>
      <c r="M50" s="124">
        <f ca="1">IF(T_satellite&lt;&gt;0,INDEX(BetaD,MATCH("Satellite",Event_sat,0)),"")</f>
        <v>77.807218266316525</v>
      </c>
    </row>
    <row r="51" spans="1:13" x14ac:dyDescent="0.2">
      <c r="A51" s="161"/>
      <c r="B51" s="166" t="str">
        <f>IF(Lang="Français","Rayon exterieur","Half-diameter ext")</f>
        <v>Rayon exterieur</v>
      </c>
      <c r="D51" s="162"/>
      <c r="F51" s="596" t="str">
        <f>IF(Lang="Français","Impact du satellite",IF(Lang="English","Satellite impact",""))</f>
        <v>Impact du satellite</v>
      </c>
      <c r="G51" s="597"/>
      <c r="H51" s="125">
        <f ca="1">IF(T_satellite&lt;&gt;0,T_satellite+Dt_satellite,"")</f>
        <v>93.275083879971888</v>
      </c>
      <c r="I51" s="130" t="str">
        <f>IF(T_satellite&lt;&gt;0,"~0","")</f>
        <v>~0</v>
      </c>
      <c r="J51" s="130" t="str">
        <f ca="1">IF(T_satellite&lt;&gt;0,CONCATENATE(TEXT(X_satellite-Dx_sat,"0")," | ",TEXT(X_satellite+Dx_sat,"0")),"")</f>
        <v>-220 | 666</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558</v>
      </c>
    </row>
    <row r="105" spans="2:9" x14ac:dyDescent="0.2">
      <c r="B105" s="1" t="s">
        <v>120</v>
      </c>
      <c r="F105" s="477">
        <f ca="1">Combustion+Depotage-9</f>
        <v>-9</v>
      </c>
      <c r="G105" s="478" t="s">
        <v>409</v>
      </c>
      <c r="I105" s="1" t="s">
        <v>559</v>
      </c>
    </row>
    <row r="106" spans="2:9" x14ac:dyDescent="0.2">
      <c r="B106" s="1" t="s">
        <v>121</v>
      </c>
      <c r="F106" s="477">
        <f ca="1">Combustion+Depotage-7</f>
        <v>-7</v>
      </c>
      <c r="G106" s="478" t="s">
        <v>410</v>
      </c>
      <c r="I106" s="1" t="s">
        <v>560</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16.399999999999999</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2142.3631619277116</v>
      </c>
      <c r="C121" s="216">
        <f ca="1">MAX(Altitude_culmi,Portee_balistique)</f>
        <v>2142.3631619277116</v>
      </c>
    </row>
    <row r="123" spans="2:3" x14ac:dyDescent="0.2">
      <c r="B123" s="210" t="s">
        <v>49</v>
      </c>
      <c r="C123" s="211" t="s">
        <v>45</v>
      </c>
    </row>
    <row r="124" spans="2:3" x14ac:dyDescent="0.2">
      <c r="B124" s="217">
        <f ca="1">X_para</f>
        <v>560.05631806428255</v>
      </c>
      <c r="C124" s="214">
        <f ca="1">Alt_para</f>
        <v>2137.2568655522532</v>
      </c>
    </row>
    <row r="125" spans="2:3" x14ac:dyDescent="0.2">
      <c r="B125" s="217">
        <f ca="1">X_para</f>
        <v>560.05631806428255</v>
      </c>
      <c r="C125" s="214">
        <f ca="1">Alt_para/2</f>
        <v>1068.6284327761266</v>
      </c>
    </row>
    <row r="126" spans="2:3" x14ac:dyDescent="0.2">
      <c r="B126" s="217">
        <f ca="1">X_para</f>
        <v>560.05631806428255</v>
      </c>
      <c r="C126" s="214">
        <v>0</v>
      </c>
    </row>
    <row r="127" spans="2:3" x14ac:dyDescent="0.2">
      <c r="B127" s="217">
        <f ca="1">X_para+Alt_para/40</f>
        <v>613.48773970308889</v>
      </c>
      <c r="C127" s="214">
        <f ca="1">Alt_para/20</f>
        <v>106.86284327761265</v>
      </c>
    </row>
    <row r="128" spans="2:3" x14ac:dyDescent="0.2">
      <c r="B128" s="217">
        <f ca="1">X_para</f>
        <v>560.05631806428255</v>
      </c>
      <c r="C128" s="214">
        <v>0</v>
      </c>
    </row>
    <row r="129" spans="2:6" x14ac:dyDescent="0.2">
      <c r="B129" s="217">
        <f ca="1">X_para-Alt_para/40</f>
        <v>506.62489642547621</v>
      </c>
      <c r="C129" s="214">
        <f ca="1">Alt_para/20</f>
        <v>106.86284327761265</v>
      </c>
    </row>
    <row r="130" spans="2:6" x14ac:dyDescent="0.2">
      <c r="B130" s="218">
        <f ca="1">X_para</f>
        <v>560.05631806428255</v>
      </c>
      <c r="C130" s="219">
        <v>0</v>
      </c>
    </row>
    <row r="131" spans="2:6" x14ac:dyDescent="0.2">
      <c r="B131" s="210" t="s">
        <v>48</v>
      </c>
      <c r="C131" s="211" t="s">
        <v>45</v>
      </c>
    </row>
    <row r="132" spans="2:6" x14ac:dyDescent="0.2">
      <c r="B132" s="213">
        <f>T_para</f>
        <v>16.399999999999999</v>
      </c>
      <c r="C132" s="214">
        <f ca="1">Alt_para</f>
        <v>2137.2568655522532</v>
      </c>
    </row>
    <row r="133" spans="2:6" x14ac:dyDescent="0.2">
      <c r="B133" s="213">
        <f ca="1">(B132+B134)/2</f>
        <v>99.234485858445268</v>
      </c>
      <c r="C133" s="214">
        <f ca="1">(C132+C134)/2</f>
        <v>1068.6284327761266</v>
      </c>
      <c r="E133" s="232">
        <v>1</v>
      </c>
      <c r="F133" s="233" t="s">
        <v>175</v>
      </c>
    </row>
    <row r="134" spans="2:6" x14ac:dyDescent="0.2">
      <c r="B134" s="213">
        <f ca="1">H49</f>
        <v>182.06897171689053</v>
      </c>
      <c r="C134" s="214">
        <f>0</f>
        <v>0</v>
      </c>
      <c r="E134" s="161">
        <v>1</v>
      </c>
      <c r="F134" s="234" t="s">
        <v>176</v>
      </c>
    </row>
    <row r="135" spans="2:6" x14ac:dyDescent="0.2">
      <c r="B135" s="213">
        <f ca="1">H49+E133*sS/2*zZ_fus-E134*sS*tT_fus</f>
        <v>180.26940427918319</v>
      </c>
      <c r="C135" s="214">
        <f ca="1">Alt_para-V_para*(H49-T_para)+E133*sS*Altitude_culmi/H49*zZ_fus+E134*sS/2*Altitude_culmi/H49*tT_fus</f>
        <v>75.157679065330726</v>
      </c>
      <c r="E135" s="161"/>
      <c r="F135" s="241" t="s">
        <v>177</v>
      </c>
    </row>
    <row r="136" spans="2:6" x14ac:dyDescent="0.2">
      <c r="B136" s="213">
        <f ca="1">H49</f>
        <v>182.06897171689053</v>
      </c>
      <c r="C136" s="214">
        <f ca="1">Alt_para-V_para*(H49-T_para)</f>
        <v>0</v>
      </c>
      <c r="E136" s="235" t="s">
        <v>172</v>
      </c>
      <c r="F136" s="236">
        <f ca="1">T_balistique/10</f>
        <v>4.3900000000000308</v>
      </c>
    </row>
    <row r="137" spans="2:6" x14ac:dyDescent="0.2">
      <c r="B137" s="213">
        <f ca="1">H49-E133*sS/2*zZ_fus-E134*sS*tT_fus</f>
        <v>175.87940427918315</v>
      </c>
      <c r="C137" s="214">
        <f ca="1">Alt_para-V_para*(H49-T_para)+E133*sS*Altitude_culmi/H49*zZ_fus-E134*sS/2*Altitude_culmi/H49*tT_fus</f>
        <v>28.154534895948217</v>
      </c>
      <c r="E137" s="235" t="s">
        <v>173</v>
      </c>
      <c r="F137" s="236">
        <f ca="1">(H49-T_para)/H49</f>
        <v>0.90992424549142126</v>
      </c>
    </row>
    <row r="138" spans="2:6" x14ac:dyDescent="0.2">
      <c r="B138" s="215">
        <f ca="1">H49</f>
        <v>182.06897171689053</v>
      </c>
      <c r="C138" s="216">
        <f ca="1">Alt_para-V_para*(H49-T_para)</f>
        <v>0</v>
      </c>
      <c r="E138" s="237" t="s">
        <v>174</v>
      </c>
      <c r="F138" s="238">
        <f ca="1">V_para*(H49-T_para)/Alt_para</f>
        <v>1</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0.89293849658314417</v>
      </c>
    </row>
    <row r="155" spans="2:6" x14ac:dyDescent="0.2">
      <c r="B155" s="215" t="b">
        <f>IF(Nb_sat="1 satellite",H51)</f>
        <v>0</v>
      </c>
      <c r="C155" s="216" t="b">
        <f>IF(Nb_sat="1 satellite",0)</f>
        <v>0</v>
      </c>
      <c r="E155" s="237" t="s">
        <v>174</v>
      </c>
      <c r="F155" s="238">
        <f ca="1">V_satellite*(T_balistique-T_satellite)/Alt_sat</f>
        <v>0.44256238078329385</v>
      </c>
    </row>
    <row r="157" spans="2:6" x14ac:dyDescent="0.2">
      <c r="B157" s="210" t="s">
        <v>2</v>
      </c>
      <c r="C157" s="228" t="s">
        <v>29</v>
      </c>
      <c r="D157" s="211" t="s">
        <v>3</v>
      </c>
    </row>
    <row r="158" spans="2:6" x14ac:dyDescent="0.2">
      <c r="B158" s="231">
        <f>T_para/4</f>
        <v>4.0999999999999996</v>
      </c>
      <c r="C158" s="82">
        <f ca="1">Alt_para/2</f>
        <v>1068.6284327761266</v>
      </c>
      <c r="D158" s="214">
        <f ca="1">X_para/4</f>
        <v>140.01407951607064</v>
      </c>
    </row>
    <row r="159" spans="2:6" x14ac:dyDescent="0.2">
      <c r="B159" s="229">
        <f ca="1">Temps_culmi + (T_balistique-Temps_culmi)/2</f>
        <v>30.650000000000123</v>
      </c>
      <c r="C159" s="230">
        <f ca="1">Altitude_culmi/2</f>
        <v>1071.1815809638558</v>
      </c>
      <c r="D159" s="216">
        <f ca="1">X_culmi+(Portee_balistique-X_culmi)*2/3</f>
        <v>812.78143546717251</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581.92578266910311</v>
      </c>
      <c r="E162" s="422"/>
      <c r="F162" s="423" t="s">
        <v>305</v>
      </c>
    </row>
    <row r="163" spans="2:6" x14ac:dyDescent="0.2">
      <c r="B163" s="231" t="e">
        <f ca="1">IF(AND(Altitude_culmi&gt;80, Altitude_culmi&lt;=350), 49, NA())</f>
        <v>#N/A</v>
      </c>
      <c r="C163" s="5">
        <v>23</v>
      </c>
      <c r="D163" s="82">
        <f t="shared" ca="1" si="0"/>
        <v>604.92578266910311</v>
      </c>
      <c r="E163" s="82"/>
      <c r="F163" s="214">
        <f t="shared" ref="F163:F178" ca="1" si="1">X_culmi-C162</f>
        <v>581.92578266910311</v>
      </c>
    </row>
    <row r="164" spans="2:6" x14ac:dyDescent="0.2">
      <c r="B164" s="231" t="e">
        <f ca="1">IF(AND(Altitude_culmi&gt;80, Altitude_culmi&lt;=350), 43, NA())</f>
        <v>#N/A</v>
      </c>
      <c r="C164" s="5">
        <v>23</v>
      </c>
      <c r="D164" s="82">
        <f t="shared" ca="1" si="0"/>
        <v>604.92578266910311</v>
      </c>
      <c r="E164" s="82"/>
      <c r="F164" s="214">
        <f t="shared" ca="1" si="1"/>
        <v>558.92578266910311</v>
      </c>
    </row>
    <row r="165" spans="2:6" x14ac:dyDescent="0.2">
      <c r="B165" s="231" t="e">
        <f ca="1">IF(AND(Altitude_culmi&gt;80, Altitude_culmi&lt;=350), 43, NA())</f>
        <v>#N/A</v>
      </c>
      <c r="C165" s="5">
        <v>0</v>
      </c>
      <c r="D165" s="82">
        <f t="shared" ca="1" si="0"/>
        <v>581.92578266910311</v>
      </c>
      <c r="E165" s="82"/>
      <c r="F165" s="214">
        <f t="shared" ca="1" si="1"/>
        <v>558.92578266910311</v>
      </c>
    </row>
    <row r="166" spans="2:6" x14ac:dyDescent="0.2">
      <c r="B166" s="231" t="e">
        <f ca="1">IF(AND(Altitude_culmi&gt;80, Altitude_culmi&lt;=350), 43, NA())</f>
        <v>#N/A</v>
      </c>
      <c r="C166" s="5">
        <v>23</v>
      </c>
      <c r="D166" s="82">
        <f t="shared" ca="1" si="0"/>
        <v>604.92578266910311</v>
      </c>
      <c r="E166" s="82"/>
      <c r="F166" s="214">
        <f t="shared" ca="1" si="1"/>
        <v>581.92578266910311</v>
      </c>
    </row>
    <row r="167" spans="2:6" x14ac:dyDescent="0.2">
      <c r="B167" s="231" t="e">
        <f ca="1">IF(AND(Altitude_culmi&gt;80, Altitude_culmi&lt;=350), 0.5, NA())</f>
        <v>#N/A</v>
      </c>
      <c r="C167" s="5">
        <v>23</v>
      </c>
      <c r="D167" s="82">
        <f t="shared" ca="1" si="0"/>
        <v>604.92578266910311</v>
      </c>
      <c r="E167" s="82"/>
      <c r="F167" s="214">
        <f t="shared" ca="1" si="1"/>
        <v>558.92578266910311</v>
      </c>
    </row>
    <row r="168" spans="2:6" x14ac:dyDescent="0.2">
      <c r="B168" s="231" t="e">
        <f ca="1">IF(AND(Altitude_culmi&gt;80, Altitude_culmi&lt;=350), 0.5, NA())</f>
        <v>#N/A</v>
      </c>
      <c r="C168" s="5">
        <v>8</v>
      </c>
      <c r="D168" s="82">
        <f t="shared" ca="1" si="0"/>
        <v>589.92578266910311</v>
      </c>
      <c r="E168" s="82"/>
      <c r="F168" s="214">
        <f t="shared" ca="1" si="1"/>
        <v>558.92578266910311</v>
      </c>
    </row>
    <row r="169" spans="2:6" x14ac:dyDescent="0.2">
      <c r="B169" s="231" t="e">
        <f ca="1">IF(AND(Altitude_culmi&gt;80, Altitude_culmi&lt;=350), 27, NA())</f>
        <v>#N/A</v>
      </c>
      <c r="C169" s="5">
        <v>8</v>
      </c>
      <c r="D169" s="82">
        <f t="shared" ca="1" si="0"/>
        <v>589.92578266910311</v>
      </c>
      <c r="E169" s="82"/>
      <c r="F169" s="214">
        <f t="shared" ca="1" si="1"/>
        <v>573.92578266910311</v>
      </c>
    </row>
    <row r="170" spans="2:6" x14ac:dyDescent="0.2">
      <c r="B170" s="231" t="e">
        <f ca="1">IF(AND(Altitude_culmi&gt;80, Altitude_culmi&lt;=350), 27, NA())</f>
        <v>#N/A</v>
      </c>
      <c r="C170" s="5">
        <v>23</v>
      </c>
      <c r="D170" s="82">
        <f t="shared" ca="1" si="0"/>
        <v>604.92578266910311</v>
      </c>
      <c r="E170" s="82"/>
      <c r="F170" s="214">
        <f t="shared" ca="1" si="1"/>
        <v>573.92578266910311</v>
      </c>
    </row>
    <row r="171" spans="2:6" x14ac:dyDescent="0.2">
      <c r="B171" s="231" t="e">
        <f ca="1">IF(AND(Altitude_culmi&gt;80, Altitude_culmi&lt;=350), 27, NA())</f>
        <v>#N/A</v>
      </c>
      <c r="C171" s="5">
        <v>8</v>
      </c>
      <c r="D171" s="82">
        <f t="shared" ca="1" si="0"/>
        <v>589.92578266910311</v>
      </c>
      <c r="E171" s="82"/>
      <c r="F171" s="214">
        <f t="shared" ca="1" si="1"/>
        <v>558.92578266910311</v>
      </c>
    </row>
    <row r="172" spans="2:6" x14ac:dyDescent="0.2">
      <c r="B172" s="231" t="e">
        <f ca="1">IF(AND(Altitude_culmi&gt;80, Altitude_culmi&lt;=350), 29, NA())</f>
        <v>#N/A</v>
      </c>
      <c r="C172" s="5">
        <v>7.6</v>
      </c>
      <c r="D172" s="82">
        <f t="shared" ca="1" si="0"/>
        <v>589.52578266910314</v>
      </c>
      <c r="E172" s="82"/>
      <c r="F172" s="214">
        <f t="shared" ca="1" si="1"/>
        <v>573.92578266910311</v>
      </c>
    </row>
    <row r="173" spans="2:6" x14ac:dyDescent="0.2">
      <c r="B173" s="231" t="e">
        <f ca="1">IF(AND(Altitude_culmi&gt;80, Altitude_culmi&lt;=350), 31, NA())</f>
        <v>#N/A</v>
      </c>
      <c r="C173" s="5">
        <v>6.8</v>
      </c>
      <c r="D173" s="82">
        <f t="shared" ca="1" si="0"/>
        <v>588.72578266910307</v>
      </c>
      <c r="E173" s="82"/>
      <c r="F173" s="214">
        <f t="shared" ca="1" si="1"/>
        <v>574.32578266910309</v>
      </c>
    </row>
    <row r="174" spans="2:6" x14ac:dyDescent="0.2">
      <c r="B174" s="231" t="e">
        <f ca="1">IF(AND(Altitude_culmi&gt;80, Altitude_culmi&lt;=350), 32, NA())</f>
        <v>#N/A</v>
      </c>
      <c r="C174" s="5">
        <v>6</v>
      </c>
      <c r="D174" s="82">
        <f t="shared" ca="1" si="0"/>
        <v>587.92578266910311</v>
      </c>
      <c r="E174" s="82"/>
      <c r="F174" s="214">
        <f t="shared" ca="1" si="1"/>
        <v>575.12578266910316</v>
      </c>
    </row>
    <row r="175" spans="2:6" x14ac:dyDescent="0.2">
      <c r="B175" s="231" t="e">
        <f ca="1">IF(AND(Altitude_culmi&gt;80, Altitude_culmi&lt;=350), 33, NA())</f>
        <v>#N/A</v>
      </c>
      <c r="C175" s="5">
        <v>5</v>
      </c>
      <c r="D175" s="82">
        <f t="shared" ca="1" si="0"/>
        <v>586.92578266910311</v>
      </c>
      <c r="E175" s="82"/>
      <c r="F175" s="214">
        <f t="shared" ca="1" si="1"/>
        <v>575.92578266910311</v>
      </c>
    </row>
    <row r="176" spans="2:6" x14ac:dyDescent="0.2">
      <c r="B176" s="231" t="e">
        <f ca="1">IF(AND(Altitude_culmi&gt;80, Altitude_culmi&lt;=350), 34, NA())</f>
        <v>#N/A</v>
      </c>
      <c r="C176" s="5">
        <v>3.8</v>
      </c>
      <c r="D176" s="82">
        <f t="shared" ca="1" si="0"/>
        <v>585.72578266910307</v>
      </c>
      <c r="E176" s="82"/>
      <c r="F176" s="214">
        <f t="shared" ca="1" si="1"/>
        <v>576.92578266910311</v>
      </c>
    </row>
    <row r="177" spans="2:6" x14ac:dyDescent="0.2">
      <c r="B177" s="229" t="e">
        <f ca="1">IF(AND(Altitude_culmi&gt;80, Altitude_culmi&lt;=350), 35, NA())</f>
        <v>#N/A</v>
      </c>
      <c r="C177" s="421">
        <v>0</v>
      </c>
      <c r="D177" s="230">
        <f t="shared" ca="1" si="0"/>
        <v>581.92578266910311</v>
      </c>
      <c r="E177" s="82"/>
      <c r="F177" s="214">
        <f t="shared" ca="1" si="1"/>
        <v>578.12578266910316</v>
      </c>
    </row>
    <row r="178" spans="2:6" x14ac:dyDescent="0.2">
      <c r="E178" s="230"/>
      <c r="F178" s="216">
        <f t="shared" ca="1" si="1"/>
        <v>581.92578266910311</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581.92578266910311</v>
      </c>
      <c r="E180" s="228"/>
      <c r="F180" s="211" t="s">
        <v>308</v>
      </c>
    </row>
    <row r="181" spans="2:6" x14ac:dyDescent="0.2">
      <c r="B181" s="231">
        <f ca="1">IF(Altitude_culmi&gt;350, 300, NA())</f>
        <v>300</v>
      </c>
      <c r="C181" s="5">
        <v>0</v>
      </c>
      <c r="D181" s="82">
        <f t="shared" ca="1" si="2"/>
        <v>581.92578266910311</v>
      </c>
      <c r="E181" s="82"/>
      <c r="F181" s="214">
        <f t="shared" ref="F181:F201" ca="1" si="3">X_culmi-C180</f>
        <v>581.92578266910311</v>
      </c>
    </row>
    <row r="182" spans="2:6" x14ac:dyDescent="0.2">
      <c r="B182" s="231">
        <f ca="1">IF(Altitude_culmi&gt;350, 280, NA())</f>
        <v>280</v>
      </c>
      <c r="C182" s="5">
        <v>10</v>
      </c>
      <c r="D182" s="82">
        <f t="shared" ca="1" si="2"/>
        <v>591.92578266910311</v>
      </c>
      <c r="E182" s="82"/>
      <c r="F182" s="214">
        <f t="shared" ca="1" si="3"/>
        <v>581.92578266910311</v>
      </c>
    </row>
    <row r="183" spans="2:6" x14ac:dyDescent="0.2">
      <c r="B183" s="231">
        <f ca="1">IF(Altitude_culmi&gt;350, 280, NA())</f>
        <v>280</v>
      </c>
      <c r="C183" s="5">
        <v>0</v>
      </c>
      <c r="D183" s="82">
        <f t="shared" ca="1" si="2"/>
        <v>581.92578266910311</v>
      </c>
      <c r="E183" s="82"/>
      <c r="F183" s="214">
        <f t="shared" ca="1" si="3"/>
        <v>571.92578266910311</v>
      </c>
    </row>
    <row r="184" spans="2:6" x14ac:dyDescent="0.2">
      <c r="B184" s="231">
        <f ca="1">IF(Altitude_culmi&gt;350, 280, NA())</f>
        <v>280</v>
      </c>
      <c r="C184" s="5">
        <v>10</v>
      </c>
      <c r="D184" s="82">
        <f t="shared" ca="1" si="2"/>
        <v>591.92578266910311</v>
      </c>
      <c r="E184" s="82"/>
      <c r="F184" s="214">
        <f t="shared" ca="1" si="3"/>
        <v>581.92578266910311</v>
      </c>
    </row>
    <row r="185" spans="2:6" x14ac:dyDescent="0.2">
      <c r="B185" s="231">
        <f ca="1">IF(Altitude_culmi&gt;350, 200, NA())</f>
        <v>200</v>
      </c>
      <c r="C185" s="5">
        <v>13</v>
      </c>
      <c r="D185" s="82">
        <f t="shared" ca="1" si="2"/>
        <v>594.92578266910311</v>
      </c>
      <c r="E185" s="82"/>
      <c r="F185" s="214">
        <f t="shared" ca="1" si="3"/>
        <v>571.92578266910311</v>
      </c>
    </row>
    <row r="186" spans="2:6" x14ac:dyDescent="0.2">
      <c r="B186" s="231">
        <f ca="1">IF(Altitude_culmi&gt;350, 160, NA())</f>
        <v>160</v>
      </c>
      <c r="C186" s="5">
        <v>17</v>
      </c>
      <c r="D186" s="82">
        <f t="shared" ca="1" si="2"/>
        <v>598.92578266910311</v>
      </c>
      <c r="E186" s="82"/>
      <c r="F186" s="214">
        <f t="shared" ca="1" si="3"/>
        <v>568.92578266910311</v>
      </c>
    </row>
    <row r="187" spans="2:6" x14ac:dyDescent="0.2">
      <c r="B187" s="231">
        <f ca="1">IF(Altitude_culmi&gt;350, 115, NA())</f>
        <v>115</v>
      </c>
      <c r="C187" s="5">
        <v>20</v>
      </c>
      <c r="D187" s="82">
        <f t="shared" ca="1" si="2"/>
        <v>601.92578266910311</v>
      </c>
      <c r="E187" s="82"/>
      <c r="F187" s="214">
        <f t="shared" ca="1" si="3"/>
        <v>564.92578266910311</v>
      </c>
    </row>
    <row r="188" spans="2:6" x14ac:dyDescent="0.2">
      <c r="B188" s="231">
        <f ca="1">IF(Altitude_culmi&gt;350, 90, NA())</f>
        <v>90</v>
      </c>
      <c r="C188" s="5">
        <v>25</v>
      </c>
      <c r="D188" s="82">
        <f t="shared" ca="1" si="2"/>
        <v>606.92578266910311</v>
      </c>
      <c r="E188" s="82"/>
      <c r="F188" s="214">
        <f t="shared" ca="1" si="3"/>
        <v>561.92578266910311</v>
      </c>
    </row>
    <row r="189" spans="2:6" x14ac:dyDescent="0.2">
      <c r="B189" s="231">
        <f ca="1">IF(Altitude_culmi&gt;350, 57, NA())</f>
        <v>57</v>
      </c>
      <c r="C189" s="5">
        <v>30</v>
      </c>
      <c r="D189" s="82">
        <f t="shared" ca="1" si="2"/>
        <v>611.92578266910311</v>
      </c>
      <c r="E189" s="82"/>
      <c r="F189" s="214">
        <f t="shared" ca="1" si="3"/>
        <v>556.92578266910311</v>
      </c>
    </row>
    <row r="190" spans="2:6" x14ac:dyDescent="0.2">
      <c r="B190" s="231">
        <f ca="1">IF(Altitude_culmi&gt;350, 40, NA())</f>
        <v>40</v>
      </c>
      <c r="C190" s="5">
        <v>36</v>
      </c>
      <c r="D190" s="82">
        <f t="shared" ca="1" si="2"/>
        <v>617.92578266910311</v>
      </c>
      <c r="E190" s="82"/>
      <c r="F190" s="214">
        <f t="shared" ca="1" si="3"/>
        <v>551.92578266910311</v>
      </c>
    </row>
    <row r="191" spans="2:6" x14ac:dyDescent="0.2">
      <c r="B191" s="231">
        <f ca="1">IF(Altitude_culmi&gt;350, 20, NA())</f>
        <v>20</v>
      </c>
      <c r="C191" s="5">
        <v>48</v>
      </c>
      <c r="D191" s="82">
        <f t="shared" ca="1" si="2"/>
        <v>629.92578266910311</v>
      </c>
      <c r="E191" s="82"/>
      <c r="F191" s="214">
        <f t="shared" ca="1" si="3"/>
        <v>545.92578266910311</v>
      </c>
    </row>
    <row r="192" spans="2:6" x14ac:dyDescent="0.2">
      <c r="B192" s="231">
        <f ca="1">IF(Altitude_culmi&gt;350, 0.5, NA())</f>
        <v>0.5</v>
      </c>
      <c r="C192" s="5">
        <v>62</v>
      </c>
      <c r="D192" s="82">
        <f t="shared" ca="1" si="2"/>
        <v>643.92578266910311</v>
      </c>
      <c r="E192" s="82"/>
      <c r="F192" s="214">
        <f t="shared" ca="1" si="3"/>
        <v>533.92578266910311</v>
      </c>
    </row>
    <row r="193" spans="2:6" x14ac:dyDescent="0.2">
      <c r="B193" s="231">
        <f ca="1">IF(Altitude_culmi&gt;350, 0.5, NA())</f>
        <v>0.5</v>
      </c>
      <c r="C193" s="5">
        <v>37</v>
      </c>
      <c r="D193" s="82">
        <f t="shared" ca="1" si="2"/>
        <v>618.92578266910311</v>
      </c>
      <c r="E193" s="82"/>
      <c r="F193" s="214">
        <f t="shared" ca="1" si="3"/>
        <v>519.92578266910311</v>
      </c>
    </row>
    <row r="194" spans="2:6" x14ac:dyDescent="0.2">
      <c r="B194" s="231">
        <f ca="1">IF(Altitude_culmi&gt;350, 15, NA())</f>
        <v>15</v>
      </c>
      <c r="C194" s="5">
        <v>30</v>
      </c>
      <c r="D194" s="82">
        <f t="shared" ca="1" si="2"/>
        <v>611.92578266910311</v>
      </c>
      <c r="E194" s="82"/>
      <c r="F194" s="214">
        <f t="shared" ca="1" si="3"/>
        <v>544.92578266910311</v>
      </c>
    </row>
    <row r="195" spans="2:6" x14ac:dyDescent="0.2">
      <c r="B195" s="231">
        <f ca="1">IF(Altitude_culmi&gt;350, 30, NA())</f>
        <v>30</v>
      </c>
      <c r="C195" s="5">
        <v>15</v>
      </c>
      <c r="D195" s="82">
        <f t="shared" ca="1" si="2"/>
        <v>596.92578266910311</v>
      </c>
      <c r="E195" s="82"/>
      <c r="F195" s="214">
        <f t="shared" ca="1" si="3"/>
        <v>551.92578266910311</v>
      </c>
    </row>
    <row r="196" spans="2:6" x14ac:dyDescent="0.2">
      <c r="B196" s="231">
        <f ca="1">IF(Altitude_culmi&gt;350, 37, NA())</f>
        <v>37</v>
      </c>
      <c r="C196" s="5">
        <v>0</v>
      </c>
      <c r="D196" s="82">
        <f t="shared" ca="1" si="2"/>
        <v>581.92578266910311</v>
      </c>
      <c r="E196" s="82"/>
      <c r="F196" s="214">
        <f t="shared" ca="1" si="3"/>
        <v>566.92578266910311</v>
      </c>
    </row>
    <row r="197" spans="2:6" x14ac:dyDescent="0.2">
      <c r="B197" s="231">
        <f ca="1">IF(Altitude_culmi&gt;350, 67, NA())</f>
        <v>67</v>
      </c>
      <c r="C197" s="5">
        <v>0</v>
      </c>
      <c r="D197" s="82">
        <f t="shared" ca="1" si="2"/>
        <v>581.92578266910311</v>
      </c>
      <c r="E197" s="82"/>
      <c r="F197" s="214">
        <f t="shared" ca="1" si="3"/>
        <v>581.92578266910311</v>
      </c>
    </row>
    <row r="198" spans="2:6" x14ac:dyDescent="0.2">
      <c r="B198" s="231">
        <f ca="1">IF(Altitude_culmi&gt;350, 67, NA())</f>
        <v>67</v>
      </c>
      <c r="C198" s="5">
        <v>17</v>
      </c>
      <c r="D198" s="82">
        <f t="shared" ca="1" si="2"/>
        <v>598.92578266910311</v>
      </c>
      <c r="E198" s="82"/>
      <c r="F198" s="214">
        <f t="shared" ca="1" si="3"/>
        <v>581.92578266910311</v>
      </c>
    </row>
    <row r="199" spans="2:6" x14ac:dyDescent="0.2">
      <c r="B199" s="231">
        <f ca="1">IF(Altitude_culmi&gt;350, 100, NA())</f>
        <v>100</v>
      </c>
      <c r="C199" s="5">
        <v>11</v>
      </c>
      <c r="D199" s="82">
        <f t="shared" ca="1" si="2"/>
        <v>592.92578266910311</v>
      </c>
      <c r="E199" s="82"/>
      <c r="F199" s="214">
        <f t="shared" ca="1" si="3"/>
        <v>564.92578266910311</v>
      </c>
    </row>
    <row r="200" spans="2:6" x14ac:dyDescent="0.2">
      <c r="B200" s="229">
        <f ca="1">IF(Altitude_culmi&gt;350, 100, NA())</f>
        <v>100</v>
      </c>
      <c r="C200" s="421">
        <v>0</v>
      </c>
      <c r="D200" s="230">
        <f t="shared" ca="1" si="2"/>
        <v>581.92578266910311</v>
      </c>
      <c r="E200" s="82"/>
      <c r="F200" s="214">
        <f t="shared" ca="1" si="3"/>
        <v>570.92578266910311</v>
      </c>
    </row>
    <row r="201" spans="2:6" x14ac:dyDescent="0.2">
      <c r="E201" s="230"/>
      <c r="F201" s="216">
        <f t="shared" ca="1" si="3"/>
        <v>581.92578266910311</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C10:D10"/>
    <mergeCell ref="C5:D5"/>
    <mergeCell ref="C2:D3"/>
    <mergeCell ref="C7:D7"/>
    <mergeCell ref="C8:D8"/>
    <mergeCell ref="C9:D9"/>
    <mergeCell ref="C6:D6"/>
    <mergeCell ref="C4:D4"/>
    <mergeCell ref="H35:I35"/>
    <mergeCell ref="H34:I34"/>
    <mergeCell ref="F29:G29"/>
    <mergeCell ref="H33:I33"/>
    <mergeCell ref="A40:D40"/>
    <mergeCell ref="H36:I36"/>
    <mergeCell ref="F36:G36"/>
    <mergeCell ref="F35:G35"/>
    <mergeCell ref="F34:G34"/>
    <mergeCell ref="F40:G40"/>
    <mergeCell ref="C23:D23"/>
    <mergeCell ref="C18:D18"/>
    <mergeCell ref="F24:G24"/>
    <mergeCell ref="F28:G28"/>
    <mergeCell ref="F27:G27"/>
    <mergeCell ref="F25:G25"/>
    <mergeCell ref="F26:G26"/>
    <mergeCell ref="C16:D16"/>
    <mergeCell ref="C11:D11"/>
    <mergeCell ref="C20:D20"/>
    <mergeCell ref="C21:D21"/>
    <mergeCell ref="C12:D12"/>
    <mergeCell ref="C14:D14"/>
    <mergeCell ref="C15:D15"/>
    <mergeCell ref="C19:D19"/>
    <mergeCell ref="F51:G51"/>
    <mergeCell ref="F42:G42"/>
    <mergeCell ref="F43:G43"/>
    <mergeCell ref="F44:G44"/>
    <mergeCell ref="F45:G45"/>
    <mergeCell ref="F50:G50"/>
    <mergeCell ref="F46:G46"/>
    <mergeCell ref="F47:G47"/>
    <mergeCell ref="F49:G49"/>
    <mergeCell ref="F48:G48"/>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zoomScale="80" zoomScaleNormal="80" workbookViewId="0">
      <selection activeCell="B2" sqref="B2"/>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Barasinga (Pro54-5G C)</v>
      </c>
      <c r="B2" s="352">
        <f>VLOOKUP(A2,A26:B314,2,FALSE)</f>
        <v>279</v>
      </c>
      <c r="C2" s="363" t="s">
        <v>115</v>
      </c>
      <c r="D2" s="353">
        <f ca="1">INDIRECT(ADDRESS(B2,4))</f>
        <v>2058.37</v>
      </c>
      <c r="E2" s="363" t="s">
        <v>114</v>
      </c>
      <c r="F2" s="354">
        <f ca="1">INDIRECT(ADDRESS(B2,6))</f>
        <v>203.12066731598335</v>
      </c>
      <c r="G2" s="363" t="s">
        <v>56</v>
      </c>
      <c r="H2" s="355">
        <f ca="1">INDIRECT(ADDRESS(B2,8))</f>
        <v>1.6850000000000001</v>
      </c>
      <c r="I2" s="363" t="s">
        <v>273</v>
      </c>
      <c r="J2" s="356">
        <f ca="1">INDIRECT(ADDRESS(B2,10))</f>
        <v>1.0329999999999999</v>
      </c>
      <c r="K2" s="363" t="s">
        <v>58</v>
      </c>
      <c r="L2" s="355">
        <f ca="1">INDIRECT(ADDRESS(B2,12))</f>
        <v>0.65200000000000002</v>
      </c>
      <c r="M2" s="363" t="s">
        <v>57</v>
      </c>
      <c r="N2" s="357">
        <f ca="1">INDIRECT(ADDRESS(B2,14))</f>
        <v>250</v>
      </c>
      <c r="O2" s="363" t="s">
        <v>59</v>
      </c>
      <c r="P2" s="357">
        <f ca="1">INDIRECT(ADDRESS(B2,16))</f>
        <v>240</v>
      </c>
      <c r="Q2" s="363" t="s">
        <v>60</v>
      </c>
      <c r="R2" s="357">
        <f ca="1">INDIRECT(ADDRESS(B2,18))</f>
        <v>488</v>
      </c>
      <c r="S2" s="363" t="s">
        <v>61</v>
      </c>
      <c r="T2" s="357">
        <f ca="1">INDIRECT(ADDRESS(B2,20))</f>
        <v>54</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0.05</v>
      </c>
      <c r="D3" s="365">
        <f t="shared" ca="1" si="0"/>
        <v>0.5</v>
      </c>
      <c r="E3" s="365">
        <f t="shared" ca="1" si="0"/>
        <v>1</v>
      </c>
      <c r="F3" s="365">
        <f t="shared" ca="1" si="0"/>
        <v>1.5</v>
      </c>
      <c r="G3" s="365">
        <f t="shared" ca="1" si="0"/>
        <v>2</v>
      </c>
      <c r="H3" s="365">
        <f t="shared" ca="1" si="0"/>
        <v>2.5</v>
      </c>
      <c r="I3" s="365">
        <f t="shared" ca="1" si="0"/>
        <v>2.97</v>
      </c>
      <c r="J3" s="365">
        <f t="shared" ca="1" si="0"/>
        <v>3.2</v>
      </c>
      <c r="K3" s="365">
        <f t="shared" ca="1" si="0"/>
        <v>3.47</v>
      </c>
      <c r="L3" s="365">
        <f t="shared" ca="1" si="0"/>
        <v>3.59</v>
      </c>
      <c r="M3" s="365">
        <f t="shared" ca="1" si="0"/>
        <v>3.59</v>
      </c>
      <c r="N3" s="365">
        <f t="shared" ca="1" si="0"/>
        <v>3.59</v>
      </c>
      <c r="O3" s="365">
        <f t="shared" ca="1" si="0"/>
        <v>3.59</v>
      </c>
      <c r="P3" s="365">
        <f t="shared" ca="1" si="0"/>
        <v>3.59</v>
      </c>
      <c r="Q3" s="365">
        <f t="shared" ca="1" si="0"/>
        <v>3.59</v>
      </c>
      <c r="R3" s="365">
        <f t="shared" ca="1" si="0"/>
        <v>3.59</v>
      </c>
      <c r="S3" s="365">
        <f t="shared" ca="1" si="0"/>
        <v>3.59</v>
      </c>
      <c r="T3" s="365">
        <f t="shared" ca="1" si="0"/>
        <v>3.59</v>
      </c>
      <c r="U3" s="365">
        <f t="shared" ca="1" si="0"/>
        <v>3.59</v>
      </c>
      <c r="V3" s="365">
        <f t="shared" ca="1" si="0"/>
        <v>3.59</v>
      </c>
      <c r="W3" s="365">
        <f t="shared" ca="1" si="0"/>
        <v>3.59</v>
      </c>
      <c r="X3" s="365">
        <f ca="1">INDIRECT(ADDRESS($B2+1,COLUMN(X3)))</f>
        <v>3.59</v>
      </c>
      <c r="Y3" s="366">
        <f t="shared" ca="1" si="0"/>
        <v>1000</v>
      </c>
    </row>
    <row r="4" spans="1:26" ht="13.5" thickBot="1" x14ac:dyDescent="0.25">
      <c r="A4" s="379" t="str">
        <f>IF(Lang="Français","Poussée (en N)","Thrust (N)")</f>
        <v>Poussée (en N)</v>
      </c>
      <c r="B4" s="367">
        <f t="shared" ref="B4:Y4" ca="1" si="1">INDIRECT(ADDRESS($B2+2,COLUMN(B3)))</f>
        <v>0</v>
      </c>
      <c r="C4" s="368">
        <f t="shared" ca="1" si="1"/>
        <v>893</v>
      </c>
      <c r="D4" s="368">
        <f t="shared" ca="1" si="1"/>
        <v>798</v>
      </c>
      <c r="E4" s="368">
        <f t="shared" ca="1" si="1"/>
        <v>739</v>
      </c>
      <c r="F4" s="368">
        <f t="shared" ca="1" si="1"/>
        <v>659</v>
      </c>
      <c r="G4" s="368">
        <f t="shared" ca="1" si="1"/>
        <v>586</v>
      </c>
      <c r="H4" s="368">
        <f t="shared" ca="1" si="1"/>
        <v>513</v>
      </c>
      <c r="I4" s="368">
        <f t="shared" ca="1" si="1"/>
        <v>417</v>
      </c>
      <c r="J4" s="368">
        <f t="shared" ca="1" si="1"/>
        <v>225</v>
      </c>
      <c r="K4" s="368">
        <f t="shared" ca="1" si="1"/>
        <v>67</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540</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538</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539</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543</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535</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544</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547</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537</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536</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548</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551</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549</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555</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550</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51" t="s">
        <v>276</v>
      </c>
      <c r="D316" s="652"/>
      <c r="F316" s="651" t="s">
        <v>181</v>
      </c>
      <c r="G316" s="652"/>
      <c r="H316" s="12"/>
      <c r="I316" s="651" t="s">
        <v>397</v>
      </c>
      <c r="J316" s="652"/>
      <c r="K316" s="12"/>
      <c r="L316" s="651" t="s">
        <v>182</v>
      </c>
      <c r="M316" s="652"/>
      <c r="O316" s="651" t="s">
        <v>396</v>
      </c>
      <c r="P316" s="652"/>
      <c r="R316" s="651" t="s">
        <v>118</v>
      </c>
      <c r="S316" s="652"/>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3" t="str">
        <f>A26</f>
        <v>H2O 1.5L 300g 6bar</v>
      </c>
      <c r="D317" s="644"/>
      <c r="F317" s="643" t="str">
        <f>A67</f>
        <v>µ-propu A8-3</v>
      </c>
      <c r="G317" s="644"/>
      <c r="H317" s="472"/>
      <c r="I317" s="641" t="str">
        <f>A148</f>
        <v>p29-1G 56F31</v>
      </c>
      <c r="J317" s="642"/>
      <c r="K317" s="472"/>
      <c r="L317" s="641" t="str">
        <f>A158</f>
        <v>p29-1G 57F59</v>
      </c>
      <c r="M317" s="642"/>
      <c r="O317" s="643" t="str">
        <f>A108</f>
        <v>p24-1G 24E22</v>
      </c>
      <c r="P317" s="644"/>
      <c r="R317" s="643" t="str">
        <f>A284</f>
        <v>Pro54-5G WT</v>
      </c>
      <c r="S317" s="644"/>
    </row>
    <row r="318" spans="1:25" x14ac:dyDescent="0.2">
      <c r="A318" s="398" t="str">
        <v>Barasinga (Pro54-5G C)</v>
      </c>
      <c r="C318" s="643" t="str">
        <f>A31</f>
        <v>H2O 1.5L 450g 6bar</v>
      </c>
      <c r="D318" s="644"/>
      <c r="F318" s="643" t="str">
        <f>A72</f>
        <v>µ-propu B4-4</v>
      </c>
      <c r="G318" s="644"/>
      <c r="H318" s="472"/>
      <c r="I318" s="641" t="str">
        <f>A153</f>
        <v>p29-1G 56F120</v>
      </c>
      <c r="J318" s="642"/>
      <c r="K318" s="472"/>
      <c r="L318" s="641" t="str">
        <f>A183</f>
        <v>p24-3G 74F85</v>
      </c>
      <c r="M318" s="642"/>
      <c r="O318" s="643" t="str">
        <f>A113</f>
        <v>p24-1G 25E75 (Rufina)</v>
      </c>
      <c r="P318" s="644"/>
      <c r="R318" s="643" t="str">
        <f>A279</f>
        <v>Barasinga (Pro54-5G C)</v>
      </c>
      <c r="S318" s="644"/>
    </row>
    <row r="319" spans="1:25" x14ac:dyDescent="0.2">
      <c r="A319" s="398" t="str">
        <v>Orignal (Pro75-3G C)</v>
      </c>
      <c r="C319" s="643" t="str">
        <f>A36</f>
        <v>H2O 1.5L 600g 6bar</v>
      </c>
      <c r="D319" s="644"/>
      <c r="F319" s="643" t="str">
        <f>A77</f>
        <v>µ-propu C6-3</v>
      </c>
      <c r="G319" s="644"/>
      <c r="H319" s="472"/>
      <c r="I319" s="641" t="str">
        <f>A158</f>
        <v>p29-1G 57F59</v>
      </c>
      <c r="J319" s="642"/>
      <c r="K319" s="472"/>
      <c r="L319" s="641" t="str">
        <f>A188</f>
        <v>p24-3G 75F51</v>
      </c>
      <c r="M319" s="642"/>
      <c r="O319" s="643" t="str">
        <f>A118</f>
        <v>p24-1G 26E31</v>
      </c>
      <c r="P319" s="644"/>
      <c r="R319" s="643" t="str">
        <f>A289</f>
        <v>Orignal (Pro75-3G C)</v>
      </c>
      <c r="S319" s="644"/>
    </row>
    <row r="320" spans="1:25" x14ac:dyDescent="0.2">
      <c r="A320" s="398" t="str">
        <v>Pro98-6G Green</v>
      </c>
      <c r="C320" s="643" t="str">
        <f>A41</f>
        <v>H2O 1.5L 750g 6bar</v>
      </c>
      <c r="D320" s="644"/>
      <c r="F320" s="643" t="str">
        <f>A82</f>
        <v>µ-propu C6-3 x2</v>
      </c>
      <c r="G320" s="644"/>
      <c r="H320" s="472"/>
      <c r="I320" s="641" t="str">
        <f>A183</f>
        <v>p24-3G 74F85</v>
      </c>
      <c r="J320" s="642"/>
      <c r="K320" s="472"/>
      <c r="L320" s="641" t="str">
        <f>A228</f>
        <v>p29-2G 116G126</v>
      </c>
      <c r="M320" s="642"/>
      <c r="O320" s="643" t="str">
        <f>A123</f>
        <v>p24-2G 50E51</v>
      </c>
      <c r="P320" s="644"/>
      <c r="R320" s="643" t="str">
        <f>A294</f>
        <v>Pro98-6G Green</v>
      </c>
      <c r="S320" s="644"/>
    </row>
    <row r="321" spans="1:19" x14ac:dyDescent="0.2">
      <c r="A321" s="398" t="str">
        <v xml:space="preserve"> </v>
      </c>
      <c r="C321" s="643" t="str">
        <f>A46</f>
        <v>H2O 2.0L 400g 6bar</v>
      </c>
      <c r="D321" s="644"/>
      <c r="F321" s="643" t="str">
        <f>A87</f>
        <v>µ-propu C6-3 x3</v>
      </c>
      <c r="G321" s="644"/>
      <c r="H321" s="472"/>
      <c r="I321" s="641" t="str">
        <f>A188</f>
        <v>p24-3G 75F51</v>
      </c>
      <c r="J321" s="642"/>
      <c r="K321" s="472"/>
      <c r="L321" s="641" t="str">
        <f>A198</f>
        <v>Pandora (Pro24-6G BS)</v>
      </c>
      <c r="M321" s="642"/>
      <c r="O321" s="643" t="str">
        <f>A128</f>
        <v>p24-1G 53E70</v>
      </c>
      <c r="P321" s="644"/>
      <c r="R321" s="643" t="s">
        <v>183</v>
      </c>
      <c r="S321" s="644"/>
    </row>
    <row r="322" spans="1:19" x14ac:dyDescent="0.2">
      <c r="A322" s="398" t="str">
        <v xml:space="preserve"> </v>
      </c>
      <c r="C322" s="643" t="str">
        <f>A51</f>
        <v>H2O 2.0L 600g 6bar</v>
      </c>
      <c r="D322" s="644"/>
      <c r="F322" s="643" t="s">
        <v>183</v>
      </c>
      <c r="G322" s="644"/>
      <c r="H322" s="472"/>
      <c r="I322" s="641" t="s">
        <v>183</v>
      </c>
      <c r="J322" s="642"/>
      <c r="K322" s="472"/>
      <c r="L322" s="643" t="str">
        <f>A92</f>
        <v>Klima D9-7</v>
      </c>
      <c r="M322" s="644"/>
      <c r="O322" s="643" t="str">
        <f>A133</f>
        <v>p29-1G 41F36</v>
      </c>
      <c r="P322" s="644"/>
      <c r="R322" s="643" t="s">
        <v>183</v>
      </c>
      <c r="S322" s="644"/>
    </row>
    <row r="323" spans="1:19" x14ac:dyDescent="0.2">
      <c r="A323" s="398" t="str">
        <v xml:space="preserve"> </v>
      </c>
      <c r="C323" s="643" t="str">
        <f>A56</f>
        <v>H2O 2.0L 800g 6bar</v>
      </c>
      <c r="D323" s="644"/>
      <c r="F323" s="643" t="s">
        <v>183</v>
      </c>
      <c r="G323" s="644"/>
      <c r="H323" s="472"/>
      <c r="I323" s="641" t="s">
        <v>183</v>
      </c>
      <c r="J323" s="642"/>
      <c r="K323" s="472"/>
      <c r="L323" s="643" t="str">
        <f>A97</f>
        <v>Klima D9-7 x2</v>
      </c>
      <c r="M323" s="644"/>
      <c r="O323" s="643" t="str">
        <f>A138</f>
        <v>p29-1G 51F36</v>
      </c>
      <c r="P323" s="644"/>
      <c r="R323" s="643" t="s">
        <v>183</v>
      </c>
      <c r="S323" s="644"/>
    </row>
    <row r="324" spans="1:19" x14ac:dyDescent="0.2">
      <c r="A324" s="398" t="str">
        <v xml:space="preserve"> </v>
      </c>
      <c r="C324" s="643" t="str">
        <f>A61</f>
        <v>H2O 2.0L 1000g 6bar</v>
      </c>
      <c r="D324" s="644"/>
      <c r="F324" s="643" t="s">
        <v>183</v>
      </c>
      <c r="G324" s="644"/>
      <c r="H324" s="472"/>
      <c r="I324" s="641" t="s">
        <v>183</v>
      </c>
      <c r="J324" s="642"/>
      <c r="K324" s="472"/>
      <c r="L324" s="643" t="str">
        <f>A102</f>
        <v>Klima D9-7 x3</v>
      </c>
      <c r="M324" s="644"/>
      <c r="O324" s="643" t="str">
        <f>A143</f>
        <v>p29-1G 55F29</v>
      </c>
      <c r="P324" s="644"/>
      <c r="R324" s="643" t="s">
        <v>183</v>
      </c>
      <c r="S324" s="644"/>
    </row>
    <row r="325" spans="1:19" x14ac:dyDescent="0.2">
      <c r="A325" s="398" t="str">
        <v xml:space="preserve"> </v>
      </c>
      <c r="C325" s="643" t="s">
        <v>183</v>
      </c>
      <c r="D325" s="644"/>
      <c r="F325" s="643" t="s">
        <v>183</v>
      </c>
      <c r="G325" s="644"/>
      <c r="H325" s="472"/>
      <c r="I325" s="641" t="s">
        <v>183</v>
      </c>
      <c r="J325" s="642"/>
      <c r="K325" s="472"/>
      <c r="L325" s="643" t="s">
        <v>183</v>
      </c>
      <c r="M325" s="644"/>
      <c r="O325" s="643" t="str">
        <f>A153</f>
        <v>p29-1G 56F120</v>
      </c>
      <c r="P325" s="644"/>
      <c r="R325" s="643" t="s">
        <v>183</v>
      </c>
      <c r="S325" s="644"/>
    </row>
    <row r="326" spans="1:19" x14ac:dyDescent="0.2">
      <c r="A326" s="398" t="str">
        <v xml:space="preserve"> </v>
      </c>
      <c r="C326" s="643" t="s">
        <v>183</v>
      </c>
      <c r="D326" s="644"/>
      <c r="F326" s="643" t="s">
        <v>183</v>
      </c>
      <c r="G326" s="644"/>
      <c r="H326" s="472"/>
      <c r="I326" s="641" t="s">
        <v>183</v>
      </c>
      <c r="J326" s="642"/>
      <c r="K326" s="472"/>
      <c r="L326" s="643" t="s">
        <v>183</v>
      </c>
      <c r="M326" s="644"/>
      <c r="O326" s="643" t="str">
        <f>A158</f>
        <v>p29-1G 57F59</v>
      </c>
      <c r="P326" s="644"/>
      <c r="R326" s="643" t="s">
        <v>183</v>
      </c>
      <c r="S326" s="644"/>
    </row>
    <row r="327" spans="1:19" x14ac:dyDescent="0.2">
      <c r="A327" s="398" t="str">
        <v xml:space="preserve"> </v>
      </c>
      <c r="C327" s="643" t="s">
        <v>183</v>
      </c>
      <c r="D327" s="644"/>
      <c r="F327" s="643" t="s">
        <v>183</v>
      </c>
      <c r="G327" s="644"/>
      <c r="H327" s="472"/>
      <c r="I327" s="641" t="s">
        <v>183</v>
      </c>
      <c r="J327" s="642"/>
      <c r="K327" s="472"/>
      <c r="L327" s="643" t="s">
        <v>183</v>
      </c>
      <c r="M327" s="644"/>
      <c r="O327" s="643" t="str">
        <f>A163</f>
        <v>p24-3G 60F50</v>
      </c>
      <c r="P327" s="644"/>
      <c r="R327" s="643" t="s">
        <v>183</v>
      </c>
      <c r="S327" s="644"/>
    </row>
    <row r="328" spans="1:19" x14ac:dyDescent="0.2">
      <c r="A328" s="398" t="str">
        <v xml:space="preserve"> </v>
      </c>
      <c r="C328" s="643" t="s">
        <v>183</v>
      </c>
      <c r="D328" s="644"/>
      <c r="F328" s="643" t="s">
        <v>183</v>
      </c>
      <c r="G328" s="644"/>
      <c r="H328" s="472"/>
      <c r="I328" s="641" t="s">
        <v>183</v>
      </c>
      <c r="J328" s="642"/>
      <c r="K328" s="472"/>
      <c r="L328" s="643" t="s">
        <v>183</v>
      </c>
      <c r="M328" s="644"/>
      <c r="O328" s="643" t="str">
        <f>A168</f>
        <v>p24-3G 68F79</v>
      </c>
      <c r="P328" s="644"/>
      <c r="R328" s="643" t="s">
        <v>183</v>
      </c>
      <c r="S328" s="644"/>
    </row>
    <row r="329" spans="1:19" x14ac:dyDescent="0.2">
      <c r="A329" s="398" t="str">
        <v xml:space="preserve"> </v>
      </c>
      <c r="C329" s="643" t="s">
        <v>183</v>
      </c>
      <c r="D329" s="644"/>
      <c r="F329" s="643" t="s">
        <v>183</v>
      </c>
      <c r="G329" s="644"/>
      <c r="H329" s="472"/>
      <c r="I329" s="641" t="s">
        <v>183</v>
      </c>
      <c r="J329" s="642"/>
      <c r="K329" s="472"/>
      <c r="L329" s="643" t="s">
        <v>183</v>
      </c>
      <c r="M329" s="644"/>
      <c r="O329" s="643" t="str">
        <f>A173</f>
        <v>p24-3G 68F240</v>
      </c>
      <c r="P329" s="644"/>
      <c r="R329" s="643" t="s">
        <v>183</v>
      </c>
      <c r="S329" s="644"/>
    </row>
    <row r="330" spans="1:19" x14ac:dyDescent="0.2">
      <c r="A330" s="398" t="str">
        <v xml:space="preserve"> </v>
      </c>
      <c r="C330" s="643" t="s">
        <v>183</v>
      </c>
      <c r="D330" s="644"/>
      <c r="F330" s="643" t="s">
        <v>183</v>
      </c>
      <c r="G330" s="644"/>
      <c r="H330" s="472"/>
      <c r="I330" s="641" t="s">
        <v>183</v>
      </c>
      <c r="J330" s="642"/>
      <c r="K330" s="472"/>
      <c r="L330" s="643" t="s">
        <v>183</v>
      </c>
      <c r="M330" s="644"/>
      <c r="O330" s="643" t="str">
        <f>A178</f>
        <v>p24-3G 73F30</v>
      </c>
      <c r="P330" s="644"/>
      <c r="R330" s="643" t="s">
        <v>183</v>
      </c>
      <c r="S330" s="644"/>
    </row>
    <row r="331" spans="1:19" x14ac:dyDescent="0.2">
      <c r="A331" s="398" t="str">
        <v xml:space="preserve"> </v>
      </c>
      <c r="C331" s="643" t="s">
        <v>183</v>
      </c>
      <c r="D331" s="644"/>
      <c r="F331" s="643" t="s">
        <v>183</v>
      </c>
      <c r="G331" s="644"/>
      <c r="H331" s="472"/>
      <c r="I331" s="649" t="s">
        <v>183</v>
      </c>
      <c r="J331" s="650"/>
      <c r="K331" s="472"/>
      <c r="L331" s="643" t="s">
        <v>183</v>
      </c>
      <c r="M331" s="644"/>
      <c r="O331" s="643" t="str">
        <f>A183</f>
        <v>p24-3G 74F85</v>
      </c>
      <c r="P331" s="644"/>
      <c r="R331" s="643" t="s">
        <v>183</v>
      </c>
      <c r="S331" s="644"/>
    </row>
    <row r="332" spans="1:19" x14ac:dyDescent="0.2">
      <c r="A332" s="462" t="str">
        <v xml:space="preserve"> </v>
      </c>
      <c r="C332" s="646" t="s">
        <v>183</v>
      </c>
      <c r="D332" s="647"/>
      <c r="F332" s="646" t="s">
        <v>183</v>
      </c>
      <c r="G332" s="647"/>
      <c r="H332" s="472"/>
      <c r="I332" s="646" t="s">
        <v>183</v>
      </c>
      <c r="J332" s="647"/>
      <c r="K332" s="472"/>
      <c r="L332" s="646" t="s">
        <v>183</v>
      </c>
      <c r="M332" s="647"/>
      <c r="O332" s="643" t="str">
        <f>A188</f>
        <v>p24-3G 75F51</v>
      </c>
      <c r="P332" s="644"/>
      <c r="R332" s="646" t="s">
        <v>183</v>
      </c>
      <c r="S332" s="647"/>
    </row>
    <row r="333" spans="1:19" x14ac:dyDescent="0.2">
      <c r="A333" s="398" t="str">
        <v xml:space="preserve"> </v>
      </c>
      <c r="C333" s="653" t="s">
        <v>183</v>
      </c>
      <c r="D333" s="653"/>
      <c r="F333" s="653" t="s">
        <v>183</v>
      </c>
      <c r="G333" s="653"/>
      <c r="I333" s="640" t="s">
        <v>183</v>
      </c>
      <c r="J333" s="640"/>
      <c r="L333" s="640" t="s">
        <v>183</v>
      </c>
      <c r="M333" s="640"/>
      <c r="O333" s="643" t="str">
        <f>A213</f>
        <v>p29-2G 84G88</v>
      </c>
      <c r="P333" s="644"/>
      <c r="R333" s="648" t="s">
        <v>183</v>
      </c>
      <c r="S333" s="648"/>
    </row>
    <row r="334" spans="1:19" x14ac:dyDescent="0.2">
      <c r="A334" s="398" t="str">
        <v>Isard</v>
      </c>
      <c r="C334" s="637" t="s">
        <v>183</v>
      </c>
      <c r="D334" s="637"/>
      <c r="F334" s="637" t="s">
        <v>183</v>
      </c>
      <c r="G334" s="637"/>
      <c r="I334" s="640" t="s">
        <v>183</v>
      </c>
      <c r="J334" s="640"/>
      <c r="L334" s="640" t="s">
        <v>183</v>
      </c>
      <c r="M334" s="640"/>
      <c r="O334" s="643" t="str">
        <f>A218</f>
        <v>p29-2G 93G80</v>
      </c>
      <c r="P334" s="644"/>
      <c r="R334" s="645" t="str">
        <f>A269</f>
        <v>Isard</v>
      </c>
      <c r="S334" s="645"/>
    </row>
    <row r="335" spans="1:19" x14ac:dyDescent="0.2">
      <c r="A335" s="398" t="str">
        <v>Chamois</v>
      </c>
      <c r="C335" s="637" t="s">
        <v>183</v>
      </c>
      <c r="D335" s="637"/>
      <c r="F335" s="637" t="s">
        <v>183</v>
      </c>
      <c r="G335" s="637"/>
      <c r="I335" s="640" t="s">
        <v>183</v>
      </c>
      <c r="J335" s="640"/>
      <c r="L335" s="640" t="s">
        <v>183</v>
      </c>
      <c r="M335" s="640"/>
      <c r="O335" s="643" t="str">
        <f>A223</f>
        <v>p29-2G 110G250</v>
      </c>
      <c r="P335" s="644"/>
      <c r="R335" s="645" t="str">
        <f>A274</f>
        <v>Chamois</v>
      </c>
      <c r="S335" s="645"/>
    </row>
    <row r="336" spans="1:19" x14ac:dyDescent="0.2">
      <c r="A336" s="398" t="str">
        <v>Pro54-5G WT</v>
      </c>
      <c r="C336" s="637" t="s">
        <v>183</v>
      </c>
      <c r="D336" s="637"/>
      <c r="F336" s="637" t="s">
        <v>183</v>
      </c>
      <c r="G336" s="637"/>
      <c r="I336" s="640" t="s">
        <v>183</v>
      </c>
      <c r="J336" s="640"/>
      <c r="L336" s="640" t="s">
        <v>183</v>
      </c>
      <c r="M336" s="640"/>
      <c r="O336" s="643" t="str">
        <f>A228</f>
        <v>p29-2G 116G126</v>
      </c>
      <c r="P336" s="644"/>
      <c r="R336" s="645" t="str">
        <f>A284</f>
        <v>Pro54-5G WT</v>
      </c>
      <c r="S336" s="645"/>
    </row>
    <row r="337" spans="1:19" x14ac:dyDescent="0.2">
      <c r="A337" s="398" t="str">
        <v>Pro98-6G Green</v>
      </c>
      <c r="C337" s="637" t="s">
        <v>183</v>
      </c>
      <c r="D337" s="637"/>
      <c r="F337" s="637" t="s">
        <v>183</v>
      </c>
      <c r="G337" s="637"/>
      <c r="I337" s="640" t="s">
        <v>183</v>
      </c>
      <c r="J337" s="640"/>
      <c r="L337" s="640" t="s">
        <v>183</v>
      </c>
      <c r="M337" s="640"/>
      <c r="O337" s="643" t="str">
        <f>A233</f>
        <v>p29-3G 125G131</v>
      </c>
      <c r="P337" s="644"/>
      <c r="R337" s="645" t="str">
        <f>A294</f>
        <v>Pro98-6G Green</v>
      </c>
      <c r="S337" s="645"/>
    </row>
    <row r="338" spans="1:19" x14ac:dyDescent="0.2">
      <c r="A338" s="398" t="str">
        <v>Pro98-3G WT</v>
      </c>
      <c r="C338" s="637" t="s">
        <v>183</v>
      </c>
      <c r="D338" s="637"/>
      <c r="F338" s="637" t="s">
        <v>183</v>
      </c>
      <c r="G338" s="637"/>
      <c r="I338" s="640" t="s">
        <v>183</v>
      </c>
      <c r="J338" s="640"/>
      <c r="L338" s="640" t="s">
        <v>183</v>
      </c>
      <c r="M338" s="640"/>
      <c r="O338" s="643" t="str">
        <f>A248</f>
        <v>p38-1G 128G185</v>
      </c>
      <c r="P338" s="644"/>
      <c r="R338" s="645" t="str">
        <f>A299</f>
        <v>Pro98-3G WT</v>
      </c>
      <c r="S338" s="645"/>
    </row>
    <row r="339" spans="1:19" x14ac:dyDescent="0.2">
      <c r="A339" s="398" t="str">
        <v>Aucun (2e ét. inerte)</v>
      </c>
      <c r="C339" s="637" t="s">
        <v>183</v>
      </c>
      <c r="D339" s="637"/>
      <c r="F339" s="637" t="s">
        <v>183</v>
      </c>
      <c r="G339" s="637"/>
      <c r="I339" s="640" t="s">
        <v>183</v>
      </c>
      <c r="J339" s="640"/>
      <c r="L339" s="640" t="s">
        <v>183</v>
      </c>
      <c r="M339" s="640"/>
      <c r="O339" s="643" t="str">
        <f>A243</f>
        <v>p38-1G 137G58</v>
      </c>
      <c r="P339" s="644"/>
      <c r="R339" s="645" t="str">
        <f>A309</f>
        <v>Aucun (2e ét. inerte)</v>
      </c>
      <c r="S339" s="645"/>
    </row>
    <row r="340" spans="1:19" x14ac:dyDescent="0.2">
      <c r="A340" s="398" t="str">
        <v xml:space="preserve"> </v>
      </c>
      <c r="C340" s="637" t="s">
        <v>183</v>
      </c>
      <c r="D340" s="637"/>
      <c r="F340" s="637" t="s">
        <v>183</v>
      </c>
      <c r="G340" s="637"/>
      <c r="I340" s="640" t="s">
        <v>183</v>
      </c>
      <c r="J340" s="640"/>
      <c r="L340" s="640" t="s">
        <v>183</v>
      </c>
      <c r="M340" s="640"/>
      <c r="O340" s="643" t="str">
        <f>A253</f>
        <v>p38-1G 141G78</v>
      </c>
      <c r="P340" s="644"/>
      <c r="R340" s="640" t="s">
        <v>183</v>
      </c>
      <c r="S340" s="640"/>
    </row>
    <row r="341" spans="1:19" x14ac:dyDescent="0.2">
      <c r="A341" s="398" t="str">
        <v xml:space="preserve"> </v>
      </c>
      <c r="C341" s="637" t="s">
        <v>183</v>
      </c>
      <c r="D341" s="637"/>
      <c r="F341" s="637" t="s">
        <v>183</v>
      </c>
      <c r="G341" s="637"/>
      <c r="I341" s="637" t="s">
        <v>183</v>
      </c>
      <c r="J341" s="637"/>
      <c r="L341" s="640" t="s">
        <v>183</v>
      </c>
      <c r="M341" s="640"/>
      <c r="O341" s="643" t="str">
        <f>A193</f>
        <v>p24-6G 140G145 PK</v>
      </c>
      <c r="P341" s="644"/>
      <c r="R341" s="637" t="s">
        <v>183</v>
      </c>
      <c r="S341" s="637"/>
    </row>
    <row r="342" spans="1:19" x14ac:dyDescent="0.2">
      <c r="A342" s="398" t="str">
        <v xml:space="preserve"> </v>
      </c>
      <c r="C342" s="637" t="s">
        <v>183</v>
      </c>
      <c r="D342" s="637"/>
      <c r="F342" s="637" t="s">
        <v>183</v>
      </c>
      <c r="G342" s="637"/>
      <c r="I342" s="637" t="s">
        <v>183</v>
      </c>
      <c r="J342" s="637"/>
      <c r="L342" s="640" t="s">
        <v>183</v>
      </c>
      <c r="M342" s="640"/>
      <c r="O342" s="643" t="str">
        <f>A198</f>
        <v>Pandora (Pro24-6G BS)</v>
      </c>
      <c r="P342" s="644"/>
      <c r="R342" s="637" t="s">
        <v>183</v>
      </c>
      <c r="S342" s="637"/>
    </row>
    <row r="343" spans="1:19" x14ac:dyDescent="0.2">
      <c r="A343" s="398" t="str">
        <v xml:space="preserve"> </v>
      </c>
      <c r="C343" s="637" t="s">
        <v>183</v>
      </c>
      <c r="D343" s="637"/>
      <c r="F343" s="637" t="s">
        <v>183</v>
      </c>
      <c r="G343" s="637"/>
      <c r="I343" s="637" t="s">
        <v>183</v>
      </c>
      <c r="J343" s="637"/>
      <c r="L343" s="637" t="s">
        <v>183</v>
      </c>
      <c r="M343" s="637"/>
      <c r="O343" s="641" t="str">
        <f>A203</f>
        <v>p24-6G 142G117 WT</v>
      </c>
      <c r="P343" s="642"/>
      <c r="R343" s="637" t="s">
        <v>183</v>
      </c>
      <c r="S343" s="637"/>
    </row>
    <row r="344" spans="1:19" x14ac:dyDescent="0.2">
      <c r="A344" s="398" t="str">
        <v xml:space="preserve"> </v>
      </c>
      <c r="C344" s="637" t="s">
        <v>183</v>
      </c>
      <c r="D344" s="637"/>
      <c r="F344" s="637" t="s">
        <v>183</v>
      </c>
      <c r="G344" s="637"/>
      <c r="I344" s="637" t="s">
        <v>183</v>
      </c>
      <c r="J344" s="637"/>
      <c r="L344" s="637" t="s">
        <v>183</v>
      </c>
      <c r="M344" s="637"/>
      <c r="O344" s="641" t="str">
        <f>A208</f>
        <v>p24-6G 139G107 DT</v>
      </c>
      <c r="P344" s="642"/>
      <c r="R344" s="637" t="s">
        <v>183</v>
      </c>
      <c r="S344" s="637"/>
    </row>
    <row r="345" spans="1:19" x14ac:dyDescent="0.2">
      <c r="A345" s="398" t="str">
        <v xml:space="preserve"> </v>
      </c>
      <c r="C345" s="637" t="s">
        <v>183</v>
      </c>
      <c r="D345" s="637"/>
      <c r="F345" s="637" t="s">
        <v>183</v>
      </c>
      <c r="G345" s="637"/>
      <c r="I345" s="637" t="s">
        <v>183</v>
      </c>
      <c r="J345" s="637"/>
      <c r="L345" s="637" t="s">
        <v>183</v>
      </c>
      <c r="M345" s="637"/>
      <c r="O345" s="641" t="str">
        <f>A263</f>
        <v>Cariacou</v>
      </c>
      <c r="P345" s="642"/>
      <c r="R345" s="637" t="s">
        <v>183</v>
      </c>
      <c r="S345" s="637"/>
    </row>
    <row r="346" spans="1:19" x14ac:dyDescent="0.2">
      <c r="A346" s="473" t="str">
        <v xml:space="preserve"> </v>
      </c>
      <c r="C346" s="637" t="s">
        <v>183</v>
      </c>
      <c r="D346" s="637"/>
      <c r="F346" s="637" t="s">
        <v>183</v>
      </c>
      <c r="G346" s="637"/>
      <c r="I346" s="637" t="s">
        <v>183</v>
      </c>
      <c r="J346" s="637"/>
      <c r="L346" s="637" t="s">
        <v>183</v>
      </c>
      <c r="M346" s="637"/>
      <c r="O346" s="638" t="str">
        <f>A258</f>
        <v>Wapiti</v>
      </c>
      <c r="P346" s="639"/>
      <c r="R346" s="637" t="s">
        <v>183</v>
      </c>
      <c r="S346" s="637"/>
    </row>
  </sheetData>
  <sheetProtection algorithmName="SHA-512" hashValue="TT52kldpbNfsZI03mY8g5TIIsjEeL9Q9TBJMBYh4cROlVUm3NqAv8usVb5XJtvE8tyHIClwYMgtE2emaKO5x7A==" saltValue="IfNq7E35bfDyzUo3UGtZTg==" spinCount="100000" sheet="1" objects="1" scenarios="1"/>
  <dataConsolidate/>
  <mergeCells count="186">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 ref="C345:D345"/>
    <mergeCell ref="C346:D346"/>
    <mergeCell ref="C335:D335"/>
    <mergeCell ref="C336:D336"/>
    <mergeCell ref="C337:D337"/>
    <mergeCell ref="C338:D338"/>
    <mergeCell ref="C339:D339"/>
    <mergeCell ref="C340:D340"/>
    <mergeCell ref="C334:D334"/>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8" activePane="bottomRight" state="frozen"/>
      <selection pane="topRight" activeCell="D1" sqref="D1"/>
      <selection pane="bottomLeft" activeCell="A8" sqref="A8"/>
      <selection pane="bottomRight" activeCell="K2" sqref="K1:K1048576"/>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0</v>
      </c>
      <c r="D4" s="292" t="s">
        <v>14</v>
      </c>
      <c r="E4" s="293" t="s">
        <v>14</v>
      </c>
      <c r="F4" s="294" t="s">
        <v>14</v>
      </c>
      <c r="G4" s="292">
        <f>vit_xz*COS(Beta)</f>
        <v>17.36481776669304</v>
      </c>
      <c r="H4" s="293">
        <f>vit_xz*SIN(Beta)</f>
        <v>98.480775301220802</v>
      </c>
      <c r="I4" s="349">
        <f>V_ini</f>
        <v>100</v>
      </c>
      <c r="J4" s="350">
        <f>X_ini</f>
        <v>0</v>
      </c>
      <c r="K4" s="351">
        <f>Z_ini</f>
        <v>0</v>
      </c>
      <c r="L4" s="327">
        <f t="shared" ref="L4:L67" si="0">SQRT(pos_x^2+pos_z^2)</f>
        <v>0</v>
      </c>
      <c r="M4" s="292">
        <f>RADIANS(N4)</f>
        <v>1.3962634015954636</v>
      </c>
      <c r="N4" s="349">
        <f>Beta_rampe</f>
        <v>80</v>
      </c>
      <c r="P4" s="292" t="s">
        <v>14</v>
      </c>
      <c r="Q4" s="294" t="s">
        <v>14</v>
      </c>
      <c r="R4" s="292" t="s">
        <v>14</v>
      </c>
      <c r="S4" s="351">
        <f ca="1">m_tot</f>
        <v>6.0259999999999998</v>
      </c>
      <c r="T4" s="327">
        <f t="shared" ref="T4:T67" ca="1" si="1">m*g</f>
        <v>59.11506</v>
      </c>
      <c r="U4" s="328">
        <f t="shared" ref="U4:U67" ca="1" si="2">IF(pos_xz&lt;L_rampe,Poids*COS(Beta),0)</f>
        <v>10.265222441671252</v>
      </c>
      <c r="V4" s="329">
        <f t="shared" ref="V4:V67" si="3">Rho_moyen*(20000-Alt_rampe-pos_z)/(20000+Alt_rampe+pos_z)</f>
        <v>1.2250000000000001</v>
      </c>
      <c r="W4" s="327">
        <f t="shared" ref="W4:W67" si="4">1/2*Rho*Sref*Cx*vit_xz^2</f>
        <v>39.744634517252493</v>
      </c>
      <c r="Y4" s="295" t="s">
        <v>14</v>
      </c>
      <c r="Z4" s="296" t="s">
        <v>14</v>
      </c>
      <c r="AA4" s="297" t="s">
        <v>14</v>
      </c>
      <c r="AC4" s="320">
        <f>IF(ABS(t-ROUND(t,0))&lt;0.001,t,-1)</f>
        <v>0</v>
      </c>
      <c r="AD4" s="321">
        <f>IF(ABS(t-ROUND(t,0))&lt;0.001,pos_x,-1)</f>
        <v>0</v>
      </c>
      <c r="AE4" s="322">
        <f t="shared" ref="AE4:AE67" si="5">IF(t&lt;T_para, pos_z, NA())</f>
        <v>0</v>
      </c>
      <c r="AG4" s="292" t="s">
        <v>14</v>
      </c>
      <c r="AH4" s="294" t="s">
        <v>14</v>
      </c>
    </row>
    <row r="5" spans="1:248" x14ac:dyDescent="0.2">
      <c r="A5" s="347">
        <f t="shared" ref="A5:A68" ca="1" si="6">IF(B4+0.01&lt;=T_ini+ROUNDUP(Temps_fin_propu,0), 0.01, IF(K4&gt;0, 0.1, 0.0001))</f>
        <v>0.01</v>
      </c>
      <c r="B5" s="304">
        <f t="shared" ref="B5:B68" ca="1" si="7">B4+pas</f>
        <v>0.01</v>
      </c>
      <c r="D5" s="306">
        <f t="shared" ref="D5:D68" ca="1" si="8">IF(AND(L4&lt;L_rampe,Poussee&lt;Poids*SIN(M4)),0,(-W4+Poussee)/m*COS(M4)-U4/m*SIN(M4))</f>
        <v>-0.24961559969422353</v>
      </c>
      <c r="E5" s="307">
        <f t="shared" ref="E5:E68" ca="1" si="9">IF(AND(L4&lt;L_rampe,Poussee&lt;Poids*SIN(M4)),0,(-W4+Poussee)/m*SIN(M4)+U4/m*COS(M4)-Poids/m)</f>
        <v>-1.4149107860774013</v>
      </c>
      <c r="F5" s="304">
        <f t="shared" ref="F5:F68" ca="1" si="10">SQRT(acc_x^2+acc_z^2)</f>
        <v>1.4367604115400996</v>
      </c>
      <c r="G5" s="306">
        <f t="shared" ref="G5:G68" ca="1" si="11">G4+acc_x*pas</f>
        <v>17.3623216106961</v>
      </c>
      <c r="H5" s="307">
        <f t="shared" ref="H5:H68" ca="1" si="12">H4+acc_z*pas</f>
        <v>98.466626193360028</v>
      </c>
      <c r="I5" s="304">
        <f t="shared" ref="I5:I68" ca="1" si="13">SQRT(vit_x^2+vit_z^2)</f>
        <v>99.98563239594047</v>
      </c>
      <c r="J5" s="306">
        <f t="shared" ref="J5:J68" ca="1" si="14">J4+0.5*(vit_x+G4)*pas*(K4&gt;=0)</f>
        <v>0.17363569688694569</v>
      </c>
      <c r="K5" s="307">
        <f t="shared" ref="K5:K68" ca="1" si="15">K4+0.5*(vit_z+H4)*pas</f>
        <v>0.98473700747290427</v>
      </c>
      <c r="L5" s="304">
        <f t="shared" ca="1" si="0"/>
        <v>0.99992816197970247</v>
      </c>
      <c r="M5" s="306">
        <f t="shared" ref="M5:M68" ca="1" si="16">IF(AND(L4&gt;L_rampe,G5&gt;0),ATAN2(G5,H5),$M$4)</f>
        <v>1.3962634015954636</v>
      </c>
      <c r="N5" s="304">
        <f t="shared" ref="N5:N68" ca="1" si="17">DEGREES(Beta)</f>
        <v>80</v>
      </c>
      <c r="P5" s="310">
        <f t="shared" ref="P5:P68" ca="1" si="18">MATCH(t-pas/2-T_ini,CdP_t)</f>
        <v>1</v>
      </c>
      <c r="Q5" s="304">
        <f t="shared" ref="Q5:Q68" ca="1" si="19">(INDEX(CdP,2,i_P+1)-INDEX(CdP,2,i_P+0))/(INDEX(CdP,1,i_P+1)-INDEX(CdP,1,i_P+0))*(t-pas/2-T_ini-INDEX(CdP,1,i_P+0))+INDEX(CdP,2,i_P+0)</f>
        <v>89.3</v>
      </c>
      <c r="R5" s="306">
        <f t="shared" ref="R5:R68" ca="1" si="20">Poussee/(g*ISP)</f>
        <v>4.4815509359347437E-2</v>
      </c>
      <c r="S5" s="307">
        <f t="shared" ref="S5:S68" ca="1" si="21">S4-Débit*pas</f>
        <v>6.0255518449064063</v>
      </c>
      <c r="T5" s="304">
        <f t="shared" ca="1" si="1"/>
        <v>59.11066359853185</v>
      </c>
      <c r="U5" s="311">
        <f t="shared" ca="1" si="2"/>
        <v>10.264459014568015</v>
      </c>
      <c r="V5" s="306">
        <f t="shared" ca="1" si="3"/>
        <v>1.2248793756557477</v>
      </c>
      <c r="W5" s="304">
        <f t="shared" ca="1" si="4"/>
        <v>39.729302150199302</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0.98473700747290427</v>
      </c>
      <c r="AG5" s="306">
        <f t="shared" ref="AG5:AG68" ca="1" si="27">IF(AND(L4&lt;L_rampe,Poussee&lt;Poids*SIN(M4)),0,(-W4+Poussee)/m-Poids*SIN(M4)/m)</f>
        <v>-1.4367604059537626</v>
      </c>
      <c r="AH5" s="304">
        <f t="shared" ref="AH5:AH68" ca="1" si="28">IF(AND(L4&lt;L_rampe,Poussee&lt;Poids*SIN(M4)), g*SIN(M4), (-W4+Poussee)/m)</f>
        <v>8.2242036510959995</v>
      </c>
    </row>
    <row r="6" spans="1:248" x14ac:dyDescent="0.2">
      <c r="A6" s="347">
        <f t="shared" ca="1" si="6"/>
        <v>0.01</v>
      </c>
      <c r="B6" s="304">
        <f t="shared" ca="1" si="7"/>
        <v>0.02</v>
      </c>
      <c r="D6" s="306">
        <f t="shared" ca="1" si="8"/>
        <v>4.8990523069312282</v>
      </c>
      <c r="E6" s="307">
        <f t="shared" ca="1" si="9"/>
        <v>27.786095649247265</v>
      </c>
      <c r="F6" s="304">
        <f t="shared" ca="1" si="10"/>
        <v>28.214673929272443</v>
      </c>
      <c r="G6" s="306">
        <f t="shared" ca="1" si="11"/>
        <v>17.411312133765414</v>
      </c>
      <c r="H6" s="307">
        <f t="shared" ca="1" si="12"/>
        <v>98.744487149852503</v>
      </c>
      <c r="I6" s="304">
        <f t="shared" ca="1" si="13"/>
        <v>100.2677791352077</v>
      </c>
      <c r="J6" s="306">
        <f t="shared" ca="1" si="14"/>
        <v>0.34750386560925328</v>
      </c>
      <c r="K6" s="307">
        <f t="shared" ca="1" si="15"/>
        <v>1.9707925741889669</v>
      </c>
      <c r="L6" s="304">
        <f t="shared" ca="1" si="0"/>
        <v>2.0011952196354432</v>
      </c>
      <c r="M6" s="306">
        <f t="shared" ca="1" si="16"/>
        <v>1.3962634015954636</v>
      </c>
      <c r="N6" s="304">
        <f t="shared" ca="1" si="17"/>
        <v>80</v>
      </c>
      <c r="P6" s="310">
        <f t="shared" ca="1" si="18"/>
        <v>1</v>
      </c>
      <c r="Q6" s="304">
        <f t="shared" ca="1" si="19"/>
        <v>267.89999999999998</v>
      </c>
      <c r="R6" s="306">
        <f t="shared" ca="1" si="20"/>
        <v>0.1344465280780423</v>
      </c>
      <c r="S6" s="307">
        <f t="shared" ca="1" si="21"/>
        <v>6.0242073796256257</v>
      </c>
      <c r="T6" s="304">
        <f t="shared" ca="1" si="1"/>
        <v>59.097474394127389</v>
      </c>
      <c r="U6" s="311">
        <f t="shared" ca="1" si="2"/>
        <v>10.262168733258303</v>
      </c>
      <c r="V6" s="306">
        <f t="shared" ca="1" si="3"/>
        <v>1.2247586016969609</v>
      </c>
      <c r="W6" s="304">
        <f t="shared" ca="1" si="4"/>
        <v>39.949901113248288</v>
      </c>
      <c r="Y6" s="314" t="str">
        <f t="shared" ca="1" si="22"/>
        <v/>
      </c>
      <c r="Z6" s="315" t="str">
        <f t="shared" ca="1" si="23"/>
        <v/>
      </c>
      <c r="AA6" s="316" t="str">
        <f t="shared" ca="1" si="24"/>
        <v/>
      </c>
      <c r="AC6" s="310" t="e">
        <f t="shared" ca="1" si="25"/>
        <v>#N/A</v>
      </c>
      <c r="AD6" s="323" t="e">
        <f t="shared" ca="1" si="26"/>
        <v>#N/A</v>
      </c>
      <c r="AE6" s="324">
        <f t="shared" ca="1" si="5"/>
        <v>1.9707925741889669</v>
      </c>
      <c r="AG6" s="306">
        <f t="shared" ca="1" si="27"/>
        <v>28.214673926711072</v>
      </c>
      <c r="AH6" s="304">
        <f t="shared" ca="1" si="28"/>
        <v>37.875637983760832</v>
      </c>
    </row>
    <row r="7" spans="1:248" x14ac:dyDescent="0.2">
      <c r="A7" s="347">
        <f t="shared" ca="1" si="6"/>
        <v>0.01</v>
      </c>
      <c r="B7" s="304">
        <f t="shared" ca="1" si="7"/>
        <v>0.03</v>
      </c>
      <c r="D7" s="306">
        <f t="shared" ca="1" si="8"/>
        <v>10.044961130969908</v>
      </c>
      <c r="E7" s="307">
        <f t="shared" ca="1" si="9"/>
        <v>56.971455744596653</v>
      </c>
      <c r="F7" s="304">
        <f t="shared" ca="1" si="10"/>
        <v>57.850220516271428</v>
      </c>
      <c r="G7" s="306">
        <f t="shared" ca="1" si="11"/>
        <v>17.511761745075113</v>
      </c>
      <c r="H7" s="307">
        <f t="shared" ca="1" si="12"/>
        <v>99.314201707298466</v>
      </c>
      <c r="I7" s="304">
        <f t="shared" ca="1" si="13"/>
        <v>100.8462813403362</v>
      </c>
      <c r="J7" s="306">
        <f t="shared" ca="1" si="14"/>
        <v>0.52211923500345592</v>
      </c>
      <c r="K7" s="307">
        <f t="shared" ca="1" si="15"/>
        <v>2.9610860184747216</v>
      </c>
      <c r="L7" s="304">
        <f t="shared" ca="1" si="0"/>
        <v>3.0067655220131604</v>
      </c>
      <c r="M7" s="306">
        <f t="shared" ca="1" si="16"/>
        <v>1.3962634015954636</v>
      </c>
      <c r="N7" s="304">
        <f t="shared" ca="1" si="17"/>
        <v>80</v>
      </c>
      <c r="P7" s="310">
        <f t="shared" ca="1" si="18"/>
        <v>1</v>
      </c>
      <c r="Q7" s="304">
        <f t="shared" ca="1" si="19"/>
        <v>446.49999999999994</v>
      </c>
      <c r="R7" s="306">
        <f t="shared" ca="1" si="20"/>
        <v>0.22407754679673716</v>
      </c>
      <c r="S7" s="307">
        <f t="shared" ca="1" si="21"/>
        <v>6.0219666041576581</v>
      </c>
      <c r="T7" s="304">
        <f t="shared" ca="1" si="1"/>
        <v>59.075492386786628</v>
      </c>
      <c r="U7" s="311">
        <f t="shared" ca="1" si="2"/>
        <v>10.25835159774212</v>
      </c>
      <c r="V7" s="306">
        <f t="shared" ca="1" si="3"/>
        <v>1.2246373206589736</v>
      </c>
      <c r="W7" s="304">
        <f t="shared" ca="1" si="4"/>
        <v>40.408216855653897</v>
      </c>
      <c r="Y7" s="314" t="str">
        <f t="shared" ca="1" si="22"/>
        <v>Sortie de rampe</v>
      </c>
      <c r="Z7" s="315" t="str">
        <f t="shared" ca="1" si="23"/>
        <v/>
      </c>
      <c r="AA7" s="316" t="str">
        <f t="shared" ca="1" si="24"/>
        <v/>
      </c>
      <c r="AC7" s="310" t="e">
        <f t="shared" ca="1" si="25"/>
        <v>#N/A</v>
      </c>
      <c r="AD7" s="323" t="e">
        <f t="shared" ca="1" si="26"/>
        <v>#N/A</v>
      </c>
      <c r="AE7" s="324">
        <f t="shared" ca="1" si="5"/>
        <v>2.9610860184747216</v>
      </c>
      <c r="AG7" s="306">
        <f t="shared" ca="1" si="27"/>
        <v>57.850220512798764</v>
      </c>
      <c r="AH7" s="304">
        <f t="shared" ca="1" si="28"/>
        <v>67.511184569848524</v>
      </c>
    </row>
    <row r="8" spans="1:248" x14ac:dyDescent="0.2">
      <c r="A8" s="347">
        <f t="shared" ca="1" si="6"/>
        <v>0.01</v>
      </c>
      <c r="B8" s="304">
        <f t="shared" ca="1" si="7"/>
        <v>0.04</v>
      </c>
      <c r="D8" s="306">
        <f t="shared" ca="1" si="8"/>
        <v>15.190355229734044</v>
      </c>
      <c r="E8" s="307">
        <f t="shared" ca="1" si="9"/>
        <v>86.153898536804689</v>
      </c>
      <c r="F8" s="304">
        <f t="shared" ca="1" si="10"/>
        <v>87.482804739534643</v>
      </c>
      <c r="G8" s="306">
        <f t="shared" ca="1" si="11"/>
        <v>17.663665297372454</v>
      </c>
      <c r="H8" s="307">
        <f t="shared" ca="1" si="12"/>
        <v>100.17574069266651</v>
      </c>
      <c r="I8" s="304">
        <f t="shared" ca="1" si="13"/>
        <v>101.72110938768786</v>
      </c>
      <c r="J8" s="306">
        <f t="shared" ca="1" si="14"/>
        <v>0.69799637021569372</v>
      </c>
      <c r="K8" s="307">
        <f t="shared" ca="1" si="15"/>
        <v>3.9585357304745465</v>
      </c>
      <c r="L8" s="304">
        <f t="shared" ca="1" si="0"/>
        <v>4.0196024756532749</v>
      </c>
      <c r="M8" s="306">
        <f t="shared" ca="1" si="16"/>
        <v>1.3962634015954636</v>
      </c>
      <c r="N8" s="304">
        <f t="shared" ca="1" si="17"/>
        <v>80</v>
      </c>
      <c r="P8" s="310">
        <f t="shared" ca="1" si="18"/>
        <v>1</v>
      </c>
      <c r="Q8" s="304">
        <f t="shared" ca="1" si="19"/>
        <v>625.1</v>
      </c>
      <c r="R8" s="306">
        <f t="shared" ca="1" si="20"/>
        <v>0.31370856551543208</v>
      </c>
      <c r="S8" s="307">
        <f t="shared" ca="1" si="21"/>
        <v>6.0188295185025034</v>
      </c>
      <c r="T8" s="304">
        <f t="shared" ca="1" si="1"/>
        <v>59.044717576509562</v>
      </c>
      <c r="U8" s="311">
        <f t="shared" ca="1" si="2"/>
        <v>0</v>
      </c>
      <c r="V8" s="306">
        <f t="shared" ca="1" si="3"/>
        <v>1.2245151753328052</v>
      </c>
      <c r="W8" s="304">
        <f t="shared" ca="1" si="4"/>
        <v>41.108228953315319</v>
      </c>
      <c r="Y8" s="314" t="str">
        <f t="shared" ca="1" si="22"/>
        <v/>
      </c>
      <c r="Z8" s="315" t="str">
        <f t="shared" ca="1" si="23"/>
        <v/>
      </c>
      <c r="AA8" s="316" t="str">
        <f t="shared" ca="1" si="24"/>
        <v/>
      </c>
      <c r="AC8" s="310" t="e">
        <f t="shared" ca="1" si="25"/>
        <v>#N/A</v>
      </c>
      <c r="AD8" s="323" t="e">
        <f t="shared" ca="1" si="26"/>
        <v>#N/A</v>
      </c>
      <c r="AE8" s="324">
        <f t="shared" ca="1" si="5"/>
        <v>3.9585357304745465</v>
      </c>
      <c r="AG8" s="306">
        <f t="shared" ca="1" si="27"/>
        <v>87.482804735029021</v>
      </c>
      <c r="AH8" s="304">
        <f t="shared" ca="1" si="28"/>
        <v>97.143768792078788</v>
      </c>
    </row>
    <row r="9" spans="1:248" x14ac:dyDescent="0.2">
      <c r="A9" s="347">
        <f t="shared" ca="1" si="6"/>
        <v>0.01</v>
      </c>
      <c r="B9" s="304">
        <f t="shared" ca="1" si="7"/>
        <v>0.05</v>
      </c>
      <c r="D9" s="306">
        <f t="shared" ca="1" si="8"/>
        <v>22.016152941105389</v>
      </c>
      <c r="E9" s="307">
        <f t="shared" ca="1" si="9"/>
        <v>115.0498079128139</v>
      </c>
      <c r="F9" s="304">
        <f t="shared" ca="1" si="10"/>
        <v>117.13739493048972</v>
      </c>
      <c r="G9" s="306">
        <f t="shared" ca="1" si="11"/>
        <v>17.883826826783508</v>
      </c>
      <c r="H9" s="307">
        <f t="shared" ca="1" si="12"/>
        <v>101.32623877179465</v>
      </c>
      <c r="I9" s="304">
        <f t="shared" ca="1" si="13"/>
        <v>102.89236087100501</v>
      </c>
      <c r="J9" s="306">
        <f t="shared" ca="1" si="14"/>
        <v>0.87573383083647349</v>
      </c>
      <c r="K9" s="307">
        <f t="shared" ca="1" si="15"/>
        <v>4.9660456277968521</v>
      </c>
      <c r="L9" s="304">
        <f t="shared" ca="1" si="0"/>
        <v>5.0426698206239671</v>
      </c>
      <c r="M9" s="306">
        <f t="shared" ca="1" si="16"/>
        <v>1.3960980384925936</v>
      </c>
      <c r="N9" s="304">
        <f t="shared" ca="1" si="17"/>
        <v>79.990525392118357</v>
      </c>
      <c r="P9" s="310">
        <f t="shared" ca="1" si="18"/>
        <v>1</v>
      </c>
      <c r="Q9" s="304">
        <f t="shared" ca="1" si="19"/>
        <v>803.7</v>
      </c>
      <c r="R9" s="306">
        <f t="shared" ca="1" si="20"/>
        <v>0.40333958423412697</v>
      </c>
      <c r="S9" s="307">
        <f t="shared" ca="1" si="21"/>
        <v>6.0147961226601625</v>
      </c>
      <c r="T9" s="304">
        <f t="shared" ca="1" si="1"/>
        <v>59.005149963296198</v>
      </c>
      <c r="U9" s="311">
        <f t="shared" ca="1" si="2"/>
        <v>0</v>
      </c>
      <c r="V9" s="306">
        <f t="shared" ca="1" si="3"/>
        <v>1.2243918104254539</v>
      </c>
      <c r="W9" s="304">
        <f t="shared" ca="1" si="4"/>
        <v>42.056109961427893</v>
      </c>
      <c r="Y9" s="314" t="str">
        <f t="shared" ca="1" si="22"/>
        <v/>
      </c>
      <c r="Z9" s="315" t="str">
        <f t="shared" ca="1" si="23"/>
        <v/>
      </c>
      <c r="AA9" s="316" t="str">
        <f t="shared" ca="1" si="24"/>
        <v/>
      </c>
      <c r="AC9" s="310" t="e">
        <f t="shared" ca="1" si="25"/>
        <v>#N/A</v>
      </c>
      <c r="AD9" s="323" t="e">
        <f t="shared" ca="1" si="26"/>
        <v>#N/A</v>
      </c>
      <c r="AE9" s="324">
        <f t="shared" ca="1" si="5"/>
        <v>4.9660456277968521</v>
      </c>
      <c r="AG9" s="306">
        <f t="shared" ca="1" si="27"/>
        <v>117.1250076525638</v>
      </c>
      <c r="AH9" s="304">
        <f t="shared" ca="1" si="28"/>
        <v>126.78597170961356</v>
      </c>
    </row>
    <row r="10" spans="1:248" x14ac:dyDescent="0.2">
      <c r="A10" s="347">
        <f t="shared" ca="1" si="6"/>
        <v>0.01</v>
      </c>
      <c r="B10" s="304">
        <f t="shared" ca="1" si="7"/>
        <v>6.0000000000000005E-2</v>
      </c>
      <c r="D10" s="306">
        <f t="shared" ca="1" si="8"/>
        <v>24.577720779270383</v>
      </c>
      <c r="E10" s="307">
        <f t="shared" ca="1" si="9"/>
        <v>129.44252286703977</v>
      </c>
      <c r="F10" s="304">
        <f t="shared" ca="1" si="10"/>
        <v>131.75519376816951</v>
      </c>
      <c r="G10" s="306">
        <f t="shared" ca="1" si="11"/>
        <v>18.129604034576211</v>
      </c>
      <c r="H10" s="307">
        <f t="shared" ca="1" si="12"/>
        <v>102.62066400046504</v>
      </c>
      <c r="I10" s="304">
        <f t="shared" ca="1" si="13"/>
        <v>104.20980386867095</v>
      </c>
      <c r="J10" s="306">
        <f t="shared" ca="1" si="14"/>
        <v>1.0558009851432721</v>
      </c>
      <c r="K10" s="307">
        <f t="shared" ca="1" si="15"/>
        <v>5.9857801416581502</v>
      </c>
      <c r="L10" s="304">
        <f t="shared" ca="1" si="0"/>
        <v>6.078180617956213</v>
      </c>
      <c r="M10" s="306">
        <f t="shared" ca="1" si="16"/>
        <v>1.3959344179779283</v>
      </c>
      <c r="N10" s="304">
        <f t="shared" ca="1" si="17"/>
        <v>79.981150627186281</v>
      </c>
      <c r="P10" s="310">
        <f t="shared" ca="1" si="18"/>
        <v>2</v>
      </c>
      <c r="Q10" s="304">
        <f t="shared" ca="1" si="19"/>
        <v>891.94444444444446</v>
      </c>
      <c r="R10" s="306">
        <f t="shared" ca="1" si="20"/>
        <v>0.44762535944029064</v>
      </c>
      <c r="S10" s="307">
        <f t="shared" ca="1" si="21"/>
        <v>6.0103198690657598</v>
      </c>
      <c r="T10" s="304">
        <f t="shared" ca="1" si="1"/>
        <v>58.961237915535108</v>
      </c>
      <c r="U10" s="311">
        <f t="shared" ca="1" si="2"/>
        <v>0</v>
      </c>
      <c r="V10" s="306">
        <f t="shared" ca="1" si="3"/>
        <v>1.2242669613230648</v>
      </c>
      <c r="W10" s="304">
        <f t="shared" ca="1" si="4"/>
        <v>43.135586320971903</v>
      </c>
      <c r="Y10" s="314" t="str">
        <f t="shared" ca="1" si="22"/>
        <v/>
      </c>
      <c r="Z10" s="315" t="str">
        <f t="shared" ca="1" si="23"/>
        <v/>
      </c>
      <c r="AA10" s="316" t="str">
        <f t="shared" ca="1" si="24"/>
        <v/>
      </c>
      <c r="AC10" s="310" t="e">
        <f t="shared" ca="1" si="25"/>
        <v>#N/A</v>
      </c>
      <c r="AD10" s="323" t="e">
        <f t="shared" ca="1" si="26"/>
        <v>#N/A</v>
      </c>
      <c r="AE10" s="324">
        <f t="shared" ca="1" si="5"/>
        <v>5.9857801416581502</v>
      </c>
      <c r="AG10" s="306">
        <f t="shared" ca="1" si="27"/>
        <v>131.74416027305475</v>
      </c>
      <c r="AH10" s="304">
        <f t="shared" ca="1" si="28"/>
        <v>141.40484250385208</v>
      </c>
    </row>
    <row r="11" spans="1:248" x14ac:dyDescent="0.2">
      <c r="A11" s="347">
        <f t="shared" ca="1" si="6"/>
        <v>0.01</v>
      </c>
      <c r="B11" s="304">
        <f t="shared" ca="1" si="7"/>
        <v>7.0000000000000007E-2</v>
      </c>
      <c r="D11" s="306">
        <f t="shared" ca="1" si="8"/>
        <v>24.526374697057847</v>
      </c>
      <c r="E11" s="307">
        <f t="shared" ca="1" si="9"/>
        <v>129.01889290555391</v>
      </c>
      <c r="F11" s="304">
        <f t="shared" ca="1" si="10"/>
        <v>131.32942466315487</v>
      </c>
      <c r="G11" s="306">
        <f t="shared" ca="1" si="11"/>
        <v>18.37486778154679</v>
      </c>
      <c r="H11" s="307">
        <f t="shared" ca="1" si="12"/>
        <v>103.91085292952059</v>
      </c>
      <c r="I11" s="304">
        <f t="shared" ca="1" si="13"/>
        <v>105.52298859741313</v>
      </c>
      <c r="J11" s="306">
        <f t="shared" ca="1" si="14"/>
        <v>1.2383233442238872</v>
      </c>
      <c r="K11" s="307">
        <f t="shared" ca="1" si="15"/>
        <v>7.0184377263080782</v>
      </c>
      <c r="L11" s="304">
        <f t="shared" ca="1" si="0"/>
        <v>7.1268445207478983</v>
      </c>
      <c r="M11" s="306">
        <f t="shared" ca="1" si="16"/>
        <v>1.3957726838515829</v>
      </c>
      <c r="N11" s="304">
        <f t="shared" ca="1" si="17"/>
        <v>79.97188394434346</v>
      </c>
      <c r="P11" s="310">
        <f t="shared" ca="1" si="18"/>
        <v>2</v>
      </c>
      <c r="Q11" s="304">
        <f t="shared" ca="1" si="19"/>
        <v>889.83333333333337</v>
      </c>
      <c r="R11" s="306">
        <f t="shared" ca="1" si="20"/>
        <v>0.44656589113392309</v>
      </c>
      <c r="S11" s="307">
        <f t="shared" ca="1" si="21"/>
        <v>6.0058542101544203</v>
      </c>
      <c r="T11" s="304">
        <f t="shared" ca="1" si="1"/>
        <v>58.917429801614865</v>
      </c>
      <c r="U11" s="311">
        <f t="shared" ca="1" si="2"/>
        <v>0</v>
      </c>
      <c r="V11" s="306">
        <f t="shared" ca="1" si="3"/>
        <v>1.2241405429808059</v>
      </c>
      <c r="W11" s="304">
        <f t="shared" ca="1" si="4"/>
        <v>44.225002504054309</v>
      </c>
      <c r="Y11" s="314" t="str">
        <f t="shared" ca="1" si="22"/>
        <v/>
      </c>
      <c r="Z11" s="315" t="str">
        <f t="shared" ca="1" si="23"/>
        <v/>
      </c>
      <c r="AA11" s="316" t="str">
        <f t="shared" ca="1" si="24"/>
        <v/>
      </c>
      <c r="AC11" s="310" t="e">
        <f t="shared" ca="1" si="25"/>
        <v>#N/A</v>
      </c>
      <c r="AD11" s="323" t="e">
        <f t="shared" ca="1" si="26"/>
        <v>#N/A</v>
      </c>
      <c r="AE11" s="324">
        <f t="shared" ca="1" si="5"/>
        <v>7.0184377263080782</v>
      </c>
      <c r="AG11" s="306">
        <f t="shared" ca="1" si="27"/>
        <v>131.31833486108519</v>
      </c>
      <c r="AH11" s="304">
        <f t="shared" ca="1" si="28"/>
        <v>140.97873797549133</v>
      </c>
    </row>
    <row r="12" spans="1:248" x14ac:dyDescent="0.2">
      <c r="A12" s="347">
        <f t="shared" ca="1" si="6"/>
        <v>0.01</v>
      </c>
      <c r="B12" s="304">
        <f t="shared" ca="1" si="7"/>
        <v>0.08</v>
      </c>
      <c r="D12" s="306">
        <f t="shared" ca="1" si="8"/>
        <v>24.474187525285839</v>
      </c>
      <c r="E12" s="307">
        <f t="shared" ca="1" si="9"/>
        <v>128.59282992748714</v>
      </c>
      <c r="F12" s="304">
        <f t="shared" ca="1" si="10"/>
        <v>130.90111444820664</v>
      </c>
      <c r="G12" s="306">
        <f t="shared" ca="1" si="11"/>
        <v>18.61960965679965</v>
      </c>
      <c r="H12" s="307">
        <f t="shared" ca="1" si="12"/>
        <v>105.19678122879546</v>
      </c>
      <c r="I12" s="304">
        <f t="shared" ca="1" si="13"/>
        <v>106.83188964289006</v>
      </c>
      <c r="J12" s="306">
        <f t="shared" ca="1" si="14"/>
        <v>1.4232957314156194</v>
      </c>
      <c r="K12" s="307">
        <f t="shared" ca="1" si="15"/>
        <v>8.0639758970996578</v>
      </c>
      <c r="L12" s="304">
        <f t="shared" ca="1" si="0"/>
        <v>8.1886188095471972</v>
      </c>
      <c r="M12" s="306">
        <f t="shared" ca="1" si="16"/>
        <v>1.3956127850388695</v>
      </c>
      <c r="N12" s="304">
        <f t="shared" ca="1" si="17"/>
        <v>79.96272241722582</v>
      </c>
      <c r="P12" s="310">
        <f t="shared" ca="1" si="18"/>
        <v>2</v>
      </c>
      <c r="Q12" s="304">
        <f t="shared" ca="1" si="19"/>
        <v>887.72222222222217</v>
      </c>
      <c r="R12" s="306">
        <f t="shared" ca="1" si="20"/>
        <v>0.44550642282755548</v>
      </c>
      <c r="S12" s="307">
        <f t="shared" ca="1" si="21"/>
        <v>6.0013991459261451</v>
      </c>
      <c r="T12" s="304">
        <f t="shared" ca="1" si="1"/>
        <v>58.873725621535485</v>
      </c>
      <c r="U12" s="311">
        <f t="shared" ca="1" si="2"/>
        <v>0</v>
      </c>
      <c r="V12" s="306">
        <f t="shared" ca="1" si="3"/>
        <v>1.2240125610867849</v>
      </c>
      <c r="W12" s="304">
        <f t="shared" ca="1" si="4"/>
        <v>45.324196543424378</v>
      </c>
      <c r="Y12" s="314" t="str">
        <f t="shared" ca="1" si="22"/>
        <v/>
      </c>
      <c r="Z12" s="315" t="str">
        <f t="shared" ca="1" si="23"/>
        <v/>
      </c>
      <c r="AA12" s="316" t="str">
        <f t="shared" ca="1" si="24"/>
        <v/>
      </c>
      <c r="AC12" s="310" t="e">
        <f t="shared" ca="1" si="25"/>
        <v>#N/A</v>
      </c>
      <c r="AD12" s="323" t="e">
        <f t="shared" ca="1" si="26"/>
        <v>#N/A</v>
      </c>
      <c r="AE12" s="324">
        <f t="shared" ca="1" si="5"/>
        <v>8.0639758970996578</v>
      </c>
      <c r="AG12" s="306">
        <f t="shared" ca="1" si="27"/>
        <v>130.8899679757788</v>
      </c>
      <c r="AH12" s="304">
        <f t="shared" ca="1" si="28"/>
        <v>140.55009493756944</v>
      </c>
    </row>
    <row r="13" spans="1:248" x14ac:dyDescent="0.2">
      <c r="A13" s="347">
        <f t="shared" ca="1" si="6"/>
        <v>0.01</v>
      </c>
      <c r="B13" s="304">
        <f t="shared" ca="1" si="7"/>
        <v>0.09</v>
      </c>
      <c r="D13" s="306">
        <f t="shared" ca="1" si="8"/>
        <v>24.421171631642455</v>
      </c>
      <c r="E13" s="307">
        <f t="shared" ca="1" si="9"/>
        <v>128.16435589884028</v>
      </c>
      <c r="F13" s="304">
        <f t="shared" ca="1" si="10"/>
        <v>130.47028683507497</v>
      </c>
      <c r="G13" s="306">
        <f t="shared" ca="1" si="11"/>
        <v>18.863821373116075</v>
      </c>
      <c r="H13" s="307">
        <f t="shared" ca="1" si="12"/>
        <v>106.47842478778387</v>
      </c>
      <c r="I13" s="304">
        <f t="shared" ca="1" si="13"/>
        <v>108.13648182775587</v>
      </c>
      <c r="J13" s="306">
        <f t="shared" ca="1" si="14"/>
        <v>1.6107128865651981</v>
      </c>
      <c r="K13" s="307">
        <f t="shared" ca="1" si="15"/>
        <v>9.1223519271825548</v>
      </c>
      <c r="L13" s="304">
        <f t="shared" ca="1" si="0"/>
        <v>9.2634605135617907</v>
      </c>
      <c r="M13" s="306">
        <f t="shared" ca="1" si="16"/>
        <v>1.395454672455279</v>
      </c>
      <c r="N13" s="304">
        <f t="shared" ca="1" si="17"/>
        <v>79.953663233498176</v>
      </c>
      <c r="P13" s="310">
        <f t="shared" ca="1" si="18"/>
        <v>2</v>
      </c>
      <c r="Q13" s="304">
        <f t="shared" ca="1" si="19"/>
        <v>885.61111111111109</v>
      </c>
      <c r="R13" s="306">
        <f t="shared" ca="1" si="20"/>
        <v>0.44444695452118799</v>
      </c>
      <c r="S13" s="307">
        <f t="shared" ca="1" si="21"/>
        <v>5.9969546763809332</v>
      </c>
      <c r="T13" s="304">
        <f t="shared" ca="1" si="1"/>
        <v>58.830125375296959</v>
      </c>
      <c r="U13" s="311">
        <f t="shared" ca="1" si="2"/>
        <v>0</v>
      </c>
      <c r="V13" s="306">
        <f t="shared" ca="1" si="3"/>
        <v>1.2238830213625314</v>
      </c>
      <c r="W13" s="304">
        <f t="shared" ca="1" si="4"/>
        <v>46.433006063033041</v>
      </c>
      <c r="Y13" s="314" t="str">
        <f t="shared" ca="1" si="22"/>
        <v/>
      </c>
      <c r="Z13" s="315" t="str">
        <f t="shared" ca="1" si="23"/>
        <v/>
      </c>
      <c r="AA13" s="316" t="str">
        <f t="shared" ca="1" si="24"/>
        <v/>
      </c>
      <c r="AC13" s="310" t="e">
        <f t="shared" ca="1" si="25"/>
        <v>#N/A</v>
      </c>
      <c r="AD13" s="323" t="e">
        <f t="shared" ca="1" si="26"/>
        <v>#N/A</v>
      </c>
      <c r="AE13" s="324">
        <f t="shared" ca="1" si="5"/>
        <v>9.1223519271825548</v>
      </c>
      <c r="AG13" s="306">
        <f t="shared" ca="1" si="27"/>
        <v>130.45908331820124</v>
      </c>
      <c r="AH13" s="304">
        <f t="shared" ca="1" si="28"/>
        <v>140.11893701267499</v>
      </c>
    </row>
    <row r="14" spans="1:248" x14ac:dyDescent="0.2">
      <c r="A14" s="347">
        <f t="shared" ca="1" si="6"/>
        <v>0.01</v>
      </c>
      <c r="B14" s="304">
        <f t="shared" ca="1" si="7"/>
        <v>9.9999999999999992E-2</v>
      </c>
      <c r="D14" s="306">
        <f t="shared" ca="1" si="8"/>
        <v>24.367339093421311</v>
      </c>
      <c r="E14" s="307">
        <f t="shared" ca="1" si="9"/>
        <v>127.73349299739417</v>
      </c>
      <c r="F14" s="304">
        <f t="shared" ca="1" si="10"/>
        <v>130.0369656974859</v>
      </c>
      <c r="G14" s="306">
        <f t="shared" ca="1" si="11"/>
        <v>19.107494764050287</v>
      </c>
      <c r="H14" s="307">
        <f t="shared" ca="1" si="12"/>
        <v>107.75575971775781</v>
      </c>
      <c r="I14" s="304">
        <f t="shared" ca="1" si="13"/>
        <v>109.43674021328196</v>
      </c>
      <c r="J14" s="306">
        <f t="shared" ca="1" si="14"/>
        <v>1.80056946725103</v>
      </c>
      <c r="K14" s="307">
        <f t="shared" ca="1" si="15"/>
        <v>10.193522849710263</v>
      </c>
      <c r="L14" s="304">
        <f t="shared" ca="1" si="0"/>
        <v>10.351326412299144</v>
      </c>
      <c r="M14" s="306">
        <f t="shared" ca="1" si="16"/>
        <v>1.3952982989036018</v>
      </c>
      <c r="N14" s="304">
        <f t="shared" ca="1" si="17"/>
        <v>79.944703688959606</v>
      </c>
      <c r="P14" s="310">
        <f t="shared" ca="1" si="18"/>
        <v>2</v>
      </c>
      <c r="Q14" s="304">
        <f t="shared" ca="1" si="19"/>
        <v>883.5</v>
      </c>
      <c r="R14" s="306">
        <f t="shared" ca="1" si="20"/>
        <v>0.44338748621482044</v>
      </c>
      <c r="S14" s="307">
        <f t="shared" ca="1" si="21"/>
        <v>5.9925208015187845</v>
      </c>
      <c r="T14" s="304">
        <f t="shared" ca="1" si="1"/>
        <v>58.78662906289928</v>
      </c>
      <c r="U14" s="311">
        <f t="shared" ca="1" si="2"/>
        <v>0</v>
      </c>
      <c r="V14" s="306">
        <f t="shared" ca="1" si="3"/>
        <v>1.2237519295626367</v>
      </c>
      <c r="W14" s="304">
        <f t="shared" ca="1" si="4"/>
        <v>47.551268303148774</v>
      </c>
      <c r="Y14" s="314" t="str">
        <f t="shared" ca="1" si="22"/>
        <v/>
      </c>
      <c r="Z14" s="315" t="str">
        <f t="shared" ca="1" si="23"/>
        <v/>
      </c>
      <c r="AA14" s="316" t="str">
        <f t="shared" ca="1" si="24"/>
        <v/>
      </c>
      <c r="AC14" s="310" t="e">
        <f t="shared" ca="1" si="25"/>
        <v>#N/A</v>
      </c>
      <c r="AD14" s="323" t="e">
        <f t="shared" ca="1" si="26"/>
        <v>#N/A</v>
      </c>
      <c r="AE14" s="324">
        <f t="shared" ca="1" si="5"/>
        <v>10.193522849710263</v>
      </c>
      <c r="AG14" s="306">
        <f t="shared" ca="1" si="27"/>
        <v>130.02570475148769</v>
      </c>
      <c r="AH14" s="304">
        <f t="shared" ca="1" si="28"/>
        <v>139.68528798845639</v>
      </c>
    </row>
    <row r="15" spans="1:248" x14ac:dyDescent="0.2">
      <c r="A15" s="347">
        <f t="shared" ca="1" si="6"/>
        <v>0.01</v>
      </c>
      <c r="B15" s="304">
        <f t="shared" ca="1" si="7"/>
        <v>0.10999999999999999</v>
      </c>
      <c r="D15" s="306">
        <f t="shared" ca="1" si="8"/>
        <v>24.312701713717079</v>
      </c>
      <c r="E15" s="307">
        <f t="shared" ca="1" si="9"/>
        <v>127.30026360618925</v>
      </c>
      <c r="F15" s="304">
        <f t="shared" ca="1" si="10"/>
        <v>129.60117506730197</v>
      </c>
      <c r="G15" s="306">
        <f t="shared" ca="1" si="11"/>
        <v>19.350621781187456</v>
      </c>
      <c r="H15" s="307">
        <f t="shared" ca="1" si="12"/>
        <v>109.0287623538197</v>
      </c>
      <c r="I15" s="304">
        <f t="shared" ca="1" si="13"/>
        <v>110.73264010093979</v>
      </c>
      <c r="J15" s="306">
        <f t="shared" ca="1" si="14"/>
        <v>1.9928600499772187</v>
      </c>
      <c r="K15" s="307">
        <f t="shared" ca="1" si="15"/>
        <v>11.277445460068151</v>
      </c>
      <c r="L15" s="304">
        <f t="shared" ca="1" si="0"/>
        <v>11.452173037620717</v>
      </c>
      <c r="M15" s="306">
        <f t="shared" ca="1" si="16"/>
        <v>1.3951436189776272</v>
      </c>
      <c r="N15" s="304">
        <f t="shared" ca="1" si="17"/>
        <v>79.935841182025868</v>
      </c>
      <c r="P15" s="310">
        <f t="shared" ca="1" si="18"/>
        <v>2</v>
      </c>
      <c r="Q15" s="304">
        <f t="shared" ca="1" si="19"/>
        <v>881.38888888888891</v>
      </c>
      <c r="R15" s="306">
        <f t="shared" ca="1" si="20"/>
        <v>0.44232801790845289</v>
      </c>
      <c r="S15" s="307">
        <f t="shared" ca="1" si="21"/>
        <v>5.9880975213397001</v>
      </c>
      <c r="T15" s="304">
        <f t="shared" ca="1" si="1"/>
        <v>58.743236684342463</v>
      </c>
      <c r="U15" s="311">
        <f t="shared" ca="1" si="2"/>
        <v>0</v>
      </c>
      <c r="V15" s="306">
        <f t="shared" ca="1" si="3"/>
        <v>1.2236192914743962</v>
      </c>
      <c r="W15" s="304">
        <f t="shared" ca="1" si="4"/>
        <v>48.678820145448647</v>
      </c>
      <c r="Y15" s="314" t="str">
        <f t="shared" ca="1" si="22"/>
        <v/>
      </c>
      <c r="Z15" s="315" t="str">
        <f t="shared" ca="1" si="23"/>
        <v/>
      </c>
      <c r="AA15" s="316" t="str">
        <f t="shared" ca="1" si="24"/>
        <v/>
      </c>
      <c r="AC15" s="310" t="e">
        <f t="shared" ca="1" si="25"/>
        <v>#N/A</v>
      </c>
      <c r="AD15" s="323" t="e">
        <f t="shared" ca="1" si="26"/>
        <v>#N/A</v>
      </c>
      <c r="AE15" s="324">
        <f t="shared" ca="1" si="5"/>
        <v>11.277445460068151</v>
      </c>
      <c r="AG15" s="306">
        <f t="shared" ca="1" si="27"/>
        <v>129.58985629699262</v>
      </c>
      <c r="AH15" s="304">
        <f t="shared" ca="1" si="28"/>
        <v>139.24917181361937</v>
      </c>
    </row>
    <row r="16" spans="1:248" x14ac:dyDescent="0.2">
      <c r="A16" s="347">
        <f t="shared" ca="1" si="6"/>
        <v>0.01</v>
      </c>
      <c r="B16" s="304">
        <f t="shared" ca="1" si="7"/>
        <v>0.11999999999999998</v>
      </c>
      <c r="D16" s="306">
        <f t="shared" ca="1" si="8"/>
        <v>24.25727103653535</v>
      </c>
      <c r="E16" s="307">
        <f t="shared" ca="1" si="9"/>
        <v>126.86469030715097</v>
      </c>
      <c r="F16" s="304">
        <f t="shared" ca="1" si="10"/>
        <v>129.16293913065488</v>
      </c>
      <c r="G16" s="306">
        <f t="shared" ca="1" si="11"/>
        <v>19.593194491552811</v>
      </c>
      <c r="H16" s="307">
        <f t="shared" ca="1" si="12"/>
        <v>110.29740925689121</v>
      </c>
      <c r="I16" s="304">
        <f t="shared" ca="1" si="13"/>
        <v>112.02415703394499</v>
      </c>
      <c r="J16" s="306">
        <f t="shared" ca="1" si="14"/>
        <v>2.1875791313409199</v>
      </c>
      <c r="K16" s="307">
        <f t="shared" ca="1" si="15"/>
        <v>12.374076318121705</v>
      </c>
      <c r="L16" s="304">
        <f t="shared" ca="1" si="0"/>
        <v>12.565956675978901</v>
      </c>
      <c r="M16" s="306">
        <f t="shared" ca="1" si="16"/>
        <v>1.3949905889719265</v>
      </c>
      <c r="N16" s="304">
        <f t="shared" ca="1" si="17"/>
        <v>79.927073208560344</v>
      </c>
      <c r="P16" s="310">
        <f t="shared" ca="1" si="18"/>
        <v>2</v>
      </c>
      <c r="Q16" s="304">
        <f t="shared" ca="1" si="19"/>
        <v>879.27777777777783</v>
      </c>
      <c r="R16" s="306">
        <f t="shared" ca="1" si="20"/>
        <v>0.44126854960208534</v>
      </c>
      <c r="S16" s="307">
        <f t="shared" ca="1" si="21"/>
        <v>5.9836848358436789</v>
      </c>
      <c r="T16" s="304">
        <f t="shared" ca="1" si="1"/>
        <v>58.699948239626494</v>
      </c>
      <c r="U16" s="311">
        <f t="shared" ca="1" si="2"/>
        <v>0</v>
      </c>
      <c r="V16" s="306">
        <f t="shared" ca="1" si="3"/>
        <v>1.2234851129174487</v>
      </c>
      <c r="W16" s="304">
        <f t="shared" ca="1" si="4"/>
        <v>49.815498138078155</v>
      </c>
      <c r="Y16" s="314" t="str">
        <f t="shared" ca="1" si="22"/>
        <v/>
      </c>
      <c r="Z16" s="315" t="str">
        <f t="shared" ca="1" si="23"/>
        <v/>
      </c>
      <c r="AA16" s="316" t="str">
        <f t="shared" ca="1" si="24"/>
        <v/>
      </c>
      <c r="AC16" s="310" t="e">
        <f t="shared" ca="1" si="25"/>
        <v>#N/A</v>
      </c>
      <c r="AD16" s="323" t="e">
        <f t="shared" ca="1" si="26"/>
        <v>#N/A</v>
      </c>
      <c r="AE16" s="324">
        <f t="shared" ca="1" si="5"/>
        <v>12.374076318121705</v>
      </c>
      <c r="AG16" s="306">
        <f t="shared" ca="1" si="27"/>
        <v>129.15156213041169</v>
      </c>
      <c r="AH16" s="304">
        <f t="shared" ca="1" si="28"/>
        <v>138.81061259390637</v>
      </c>
    </row>
    <row r="17" spans="1:34" x14ac:dyDescent="0.2">
      <c r="A17" s="347">
        <f t="shared" ca="1" si="6"/>
        <v>0.01</v>
      </c>
      <c r="B17" s="304">
        <f t="shared" ca="1" si="7"/>
        <v>0.12999999999999998</v>
      </c>
      <c r="D17" s="306">
        <f t="shared" ca="1" si="8"/>
        <v>24.201058360898287</v>
      </c>
      <c r="E17" s="307">
        <f t="shared" ca="1" si="9"/>
        <v>126.42679587484955</v>
      </c>
      <c r="F17" s="304">
        <f t="shared" ca="1" si="10"/>
        <v>128.72228222405195</v>
      </c>
      <c r="G17" s="306">
        <f t="shared" ca="1" si="11"/>
        <v>19.835205075161795</v>
      </c>
      <c r="H17" s="307">
        <f t="shared" ca="1" si="12"/>
        <v>111.5616772156397</v>
      </c>
      <c r="I17" s="304">
        <f t="shared" ca="1" si="13"/>
        <v>113.31126679876236</v>
      </c>
      <c r="J17" s="306">
        <f t="shared" ca="1" si="14"/>
        <v>2.3847211291744927</v>
      </c>
      <c r="K17" s="307">
        <f t="shared" ca="1" si="15"/>
        <v>13.483371750484361</v>
      </c>
      <c r="L17" s="304">
        <f t="shared" ca="1" si="0"/>
        <v>13.692633370746876</v>
      </c>
      <c r="M17" s="306">
        <f t="shared" ca="1" si="16"/>
        <v>1.3948391667972602</v>
      </c>
      <c r="N17" s="304">
        <f t="shared" ca="1" si="17"/>
        <v>79.918397357027274</v>
      </c>
      <c r="P17" s="310">
        <f t="shared" ca="1" si="18"/>
        <v>2</v>
      </c>
      <c r="Q17" s="304">
        <f t="shared" ca="1" si="19"/>
        <v>877.16666666666663</v>
      </c>
      <c r="R17" s="306">
        <f t="shared" ca="1" si="20"/>
        <v>0.44020908129571773</v>
      </c>
      <c r="S17" s="307">
        <f t="shared" ca="1" si="21"/>
        <v>5.979282745030722</v>
      </c>
      <c r="T17" s="304">
        <f t="shared" ca="1" si="1"/>
        <v>58.656763728751386</v>
      </c>
      <c r="U17" s="311">
        <f t="shared" ca="1" si="2"/>
        <v>0</v>
      </c>
      <c r="V17" s="306">
        <f t="shared" ca="1" si="3"/>
        <v>1.2233493997434093</v>
      </c>
      <c r="W17" s="304">
        <f t="shared" ca="1" si="4"/>
        <v>50.961138520672677</v>
      </c>
      <c r="Y17" s="314" t="str">
        <f t="shared" ca="1" si="22"/>
        <v/>
      </c>
      <c r="Z17" s="315" t="str">
        <f t="shared" ca="1" si="23"/>
        <v/>
      </c>
      <c r="AA17" s="316" t="str">
        <f t="shared" ca="1" si="24"/>
        <v/>
      </c>
      <c r="AC17" s="310" t="e">
        <f t="shared" ca="1" si="25"/>
        <v>#N/A</v>
      </c>
      <c r="AD17" s="323" t="e">
        <f t="shared" ca="1" si="26"/>
        <v>#N/A</v>
      </c>
      <c r="AE17" s="324">
        <f t="shared" ca="1" si="5"/>
        <v>13.483371750484361</v>
      </c>
      <c r="AG17" s="306">
        <f t="shared" ca="1" si="27"/>
        <v>128.71084657787819</v>
      </c>
      <c r="AH17" s="304">
        <f t="shared" ca="1" si="28"/>
        <v>138.3696345880592</v>
      </c>
    </row>
    <row r="18" spans="1:34" x14ac:dyDescent="0.2">
      <c r="A18" s="347">
        <f t="shared" ca="1" si="6"/>
        <v>0.01</v>
      </c>
      <c r="B18" s="304">
        <f t="shared" ca="1" si="7"/>
        <v>0.13999999999999999</v>
      </c>
      <c r="D18" s="306">
        <f t="shared" ca="1" si="8"/>
        <v>24.144074754021887</v>
      </c>
      <c r="E18" s="307">
        <f t="shared" ca="1" si="9"/>
        <v>125.98660327038459</v>
      </c>
      <c r="F18" s="304">
        <f t="shared" ca="1" si="10"/>
        <v>128.27922883045827</v>
      </c>
      <c r="G18" s="306">
        <f t="shared" ca="1" si="11"/>
        <v>20.076645822702012</v>
      </c>
      <c r="H18" s="307">
        <f t="shared" ca="1" si="12"/>
        <v>112.82154324834354</v>
      </c>
      <c r="I18" s="304">
        <f t="shared" ca="1" si="13"/>
        <v>114.59394542657161</v>
      </c>
      <c r="J18" s="306">
        <f t="shared" ca="1" si="14"/>
        <v>2.584280383663812</v>
      </c>
      <c r="K18" s="307">
        <f t="shared" ca="1" si="15"/>
        <v>14.605287852804278</v>
      </c>
      <c r="L18" s="304">
        <f t="shared" ca="1" si="0"/>
        <v>14.832158924602371</v>
      </c>
      <c r="M18" s="306">
        <f t="shared" ca="1" si="16"/>
        <v>1.3946893119011945</v>
      </c>
      <c r="N18" s="304">
        <f t="shared" ca="1" si="17"/>
        <v>79.909811303943343</v>
      </c>
      <c r="P18" s="310">
        <f t="shared" ca="1" si="18"/>
        <v>2</v>
      </c>
      <c r="Q18" s="304">
        <f t="shared" ca="1" si="19"/>
        <v>875.05555555555554</v>
      </c>
      <c r="R18" s="306">
        <f t="shared" ca="1" si="20"/>
        <v>0.43914961298935024</v>
      </c>
      <c r="S18" s="307">
        <f t="shared" ca="1" si="21"/>
        <v>5.9748912489008283</v>
      </c>
      <c r="T18" s="304">
        <f t="shared" ca="1" si="1"/>
        <v>58.613683151717126</v>
      </c>
      <c r="U18" s="311">
        <f t="shared" ca="1" si="2"/>
        <v>0</v>
      </c>
      <c r="V18" s="306">
        <f t="shared" ca="1" si="3"/>
        <v>1.2232121578355042</v>
      </c>
      <c r="W18" s="304">
        <f t="shared" ca="1" si="4"/>
        <v>52.115577249334649</v>
      </c>
      <c r="Y18" s="314" t="str">
        <f t="shared" ca="1" si="22"/>
        <v/>
      </c>
      <c r="Z18" s="315" t="str">
        <f t="shared" ca="1" si="23"/>
        <v/>
      </c>
      <c r="AA18" s="316" t="str">
        <f t="shared" ca="1" si="24"/>
        <v/>
      </c>
      <c r="AC18" s="310" t="e">
        <f t="shared" ca="1" si="25"/>
        <v>#N/A</v>
      </c>
      <c r="AD18" s="323" t="e">
        <f t="shared" ca="1" si="26"/>
        <v>#N/A</v>
      </c>
      <c r="AE18" s="324">
        <f t="shared" ca="1" si="5"/>
        <v>14.605287852804278</v>
      </c>
      <c r="AG18" s="306">
        <f t="shared" ca="1" si="27"/>
        <v>128.26773411203547</v>
      </c>
      <c r="AH18" s="304">
        <f t="shared" ca="1" si="28"/>
        <v>137.92626220376604</v>
      </c>
    </row>
    <row r="19" spans="1:34" x14ac:dyDescent="0.2">
      <c r="A19" s="347">
        <f t="shared" ca="1" si="6"/>
        <v>0.01</v>
      </c>
      <c r="B19" s="304">
        <f t="shared" ca="1" si="7"/>
        <v>0.15</v>
      </c>
      <c r="D19" s="306">
        <f t="shared" ca="1" si="8"/>
        <v>24.086331063632944</v>
      </c>
      <c r="E19" s="307">
        <f t="shared" ca="1" si="9"/>
        <v>125.54413563538461</v>
      </c>
      <c r="F19" s="304">
        <f t="shared" ca="1" si="10"/>
        <v>127.8338035753563</v>
      </c>
      <c r="G19" s="306">
        <f t="shared" ca="1" si="11"/>
        <v>20.317509133338341</v>
      </c>
      <c r="H19" s="307">
        <f t="shared" ca="1" si="12"/>
        <v>114.07698460469739</v>
      </c>
      <c r="I19" s="304">
        <f t="shared" ca="1" si="13"/>
        <v>115.87216919469338</v>
      </c>
      <c r="J19" s="306">
        <f t="shared" ca="1" si="14"/>
        <v>2.7862511584440135</v>
      </c>
      <c r="K19" s="307">
        <f t="shared" ca="1" si="15"/>
        <v>15.739780492069482</v>
      </c>
      <c r="L19" s="304">
        <f t="shared" ca="1" si="0"/>
        <v>15.984488901946838</v>
      </c>
      <c r="M19" s="306">
        <f t="shared" ca="1" si="16"/>
        <v>1.3945409851935455</v>
      </c>
      <c r="N19" s="304">
        <f t="shared" ca="1" si="17"/>
        <v>79.901312809605983</v>
      </c>
      <c r="P19" s="310">
        <f t="shared" ca="1" si="18"/>
        <v>2</v>
      </c>
      <c r="Q19" s="304">
        <f t="shared" ca="1" si="19"/>
        <v>872.94444444444446</v>
      </c>
      <c r="R19" s="306">
        <f t="shared" ca="1" si="20"/>
        <v>0.43809014468298269</v>
      </c>
      <c r="S19" s="307">
        <f t="shared" ca="1" si="21"/>
        <v>5.9705103474539989</v>
      </c>
      <c r="T19" s="304">
        <f t="shared" ca="1" si="1"/>
        <v>58.570706508523735</v>
      </c>
      <c r="U19" s="311">
        <f t="shared" ca="1" si="2"/>
        <v>0</v>
      </c>
      <c r="V19" s="306">
        <f t="shared" ca="1" si="3"/>
        <v>1.2230733931082001</v>
      </c>
      <c r="W19" s="304">
        <f t="shared" ca="1" si="4"/>
        <v>53.278650021558953</v>
      </c>
      <c r="Y19" s="314" t="str">
        <f t="shared" ca="1" si="22"/>
        <v/>
      </c>
      <c r="Z19" s="315" t="str">
        <f t="shared" ca="1" si="23"/>
        <v/>
      </c>
      <c r="AA19" s="316" t="str">
        <f t="shared" ca="1" si="24"/>
        <v/>
      </c>
      <c r="AC19" s="310" t="e">
        <f t="shared" ca="1" si="25"/>
        <v>#N/A</v>
      </c>
      <c r="AD19" s="323" t="e">
        <f t="shared" ca="1" si="26"/>
        <v>#N/A</v>
      </c>
      <c r="AE19" s="324">
        <f t="shared" ca="1" si="5"/>
        <v>15.739780492069482</v>
      </c>
      <c r="AG19" s="306">
        <f t="shared" ca="1" si="27"/>
        <v>127.8222493480874</v>
      </c>
      <c r="AH19" s="304">
        <f t="shared" ca="1" si="28"/>
        <v>137.48051999359407</v>
      </c>
    </row>
    <row r="20" spans="1:34" x14ac:dyDescent="0.2">
      <c r="A20" s="347">
        <f t="shared" ca="1" si="6"/>
        <v>0.01</v>
      </c>
      <c r="B20" s="304">
        <f t="shared" ca="1" si="7"/>
        <v>0.16</v>
      </c>
      <c r="D20" s="306">
        <f t="shared" ca="1" si="8"/>
        <v>24.027837929488921</v>
      </c>
      <c r="E20" s="307">
        <f t="shared" ca="1" si="9"/>
        <v>125.09941628611421</v>
      </c>
      <c r="F20" s="304">
        <f t="shared" ca="1" si="10"/>
        <v>127.38603122278472</v>
      </c>
      <c r="G20" s="306">
        <f t="shared" ca="1" si="11"/>
        <v>20.557787512633229</v>
      </c>
      <c r="H20" s="307">
        <f t="shared" ca="1" si="12"/>
        <v>115.32797876755853</v>
      </c>
      <c r="I20" s="304">
        <f t="shared" ca="1" si="13"/>
        <v>117.14591462797587</v>
      </c>
      <c r="J20" s="306">
        <f t="shared" ca="1" si="14"/>
        <v>2.9906276416738713</v>
      </c>
      <c r="K20" s="307">
        <f t="shared" ca="1" si="15"/>
        <v>16.886805308930761</v>
      </c>
      <c r="L20" s="304">
        <f t="shared" ca="1" si="0"/>
        <v>17.149578631350565</v>
      </c>
      <c r="M20" s="306">
        <f t="shared" ca="1" si="16"/>
        <v>1.3943941489763036</v>
      </c>
      <c r="N20" s="304">
        <f t="shared" ca="1" si="17"/>
        <v>79.892899714078354</v>
      </c>
      <c r="P20" s="310">
        <f t="shared" ca="1" si="18"/>
        <v>2</v>
      </c>
      <c r="Q20" s="304">
        <f t="shared" ca="1" si="19"/>
        <v>870.83333333333337</v>
      </c>
      <c r="R20" s="306">
        <f t="shared" ca="1" si="20"/>
        <v>0.43703067637661513</v>
      </c>
      <c r="S20" s="307">
        <f t="shared" ca="1" si="21"/>
        <v>5.9661400406902327</v>
      </c>
      <c r="T20" s="304">
        <f t="shared" ca="1" si="1"/>
        <v>58.527833799171184</v>
      </c>
      <c r="U20" s="311">
        <f t="shared" ca="1" si="2"/>
        <v>0</v>
      </c>
      <c r="V20" s="306">
        <f t="shared" ca="1" si="3"/>
        <v>1.2229331115068349</v>
      </c>
      <c r="W20" s="304">
        <f t="shared" ca="1" si="4"/>
        <v>54.45019230110114</v>
      </c>
      <c r="Y20" s="314" t="str">
        <f t="shared" ca="1" si="22"/>
        <v/>
      </c>
      <c r="Z20" s="315" t="str">
        <f t="shared" ca="1" si="23"/>
        <v/>
      </c>
      <c r="AA20" s="316" t="str">
        <f t="shared" ca="1" si="24"/>
        <v/>
      </c>
      <c r="AC20" s="310" t="e">
        <f t="shared" ca="1" si="25"/>
        <v>#N/A</v>
      </c>
      <c r="AD20" s="323" t="e">
        <f t="shared" ca="1" si="26"/>
        <v>#N/A</v>
      </c>
      <c r="AE20" s="324">
        <f t="shared" ca="1" si="5"/>
        <v>16.886805308930761</v>
      </c>
      <c r="AG20" s="306">
        <f t="shared" ca="1" si="27"/>
        <v>127.3744170398285</v>
      </c>
      <c r="AH20" s="304">
        <f t="shared" ca="1" si="28"/>
        <v>137.03243265090876</v>
      </c>
    </row>
    <row r="21" spans="1:34" x14ac:dyDescent="0.2">
      <c r="A21" s="347">
        <f t="shared" ca="1" si="6"/>
        <v>0.01</v>
      </c>
      <c r="B21" s="304">
        <f t="shared" ca="1" si="7"/>
        <v>0.17</v>
      </c>
      <c r="D21" s="306">
        <f t="shared" ca="1" si="8"/>
        <v>23.968605794157728</v>
      </c>
      <c r="E21" s="307">
        <f t="shared" ca="1" si="9"/>
        <v>124.65246870768104</v>
      </c>
      <c r="F21" s="304">
        <f t="shared" ca="1" si="10"/>
        <v>126.93593667135849</v>
      </c>
      <c r="G21" s="306">
        <f t="shared" ca="1" si="11"/>
        <v>20.797473570574805</v>
      </c>
      <c r="H21" s="307">
        <f t="shared" ca="1" si="12"/>
        <v>116.57450345463535</v>
      </c>
      <c r="I21" s="304">
        <f t="shared" ca="1" si="13"/>
        <v>118.41515850014113</v>
      </c>
      <c r="J21" s="306">
        <f t="shared" ca="1" si="14"/>
        <v>3.1974039470899114</v>
      </c>
      <c r="K21" s="307">
        <f t="shared" ca="1" si="15"/>
        <v>18.046317720041731</v>
      </c>
      <c r="L21" s="304">
        <f t="shared" ca="1" si="0"/>
        <v>18.327383208018496</v>
      </c>
      <c r="M21" s="306">
        <f t="shared" ca="1" si="16"/>
        <v>1.3942487668777153</v>
      </c>
      <c r="N21" s="304">
        <f t="shared" ca="1" si="17"/>
        <v>79.884569933412493</v>
      </c>
      <c r="P21" s="310">
        <f t="shared" ca="1" si="18"/>
        <v>2</v>
      </c>
      <c r="Q21" s="304">
        <f t="shared" ca="1" si="19"/>
        <v>868.72222222222217</v>
      </c>
      <c r="R21" s="306">
        <f t="shared" ca="1" si="20"/>
        <v>0.43597120807024753</v>
      </c>
      <c r="S21" s="307">
        <f t="shared" ca="1" si="21"/>
        <v>5.9617803286095299</v>
      </c>
      <c r="T21" s="304">
        <f t="shared" ca="1" si="1"/>
        <v>58.485065023659494</v>
      </c>
      <c r="U21" s="311">
        <f t="shared" ca="1" si="2"/>
        <v>0</v>
      </c>
      <c r="V21" s="306">
        <f t="shared" ca="1" si="3"/>
        <v>1.2227913190072421</v>
      </c>
      <c r="W21" s="304">
        <f t="shared" ca="1" si="4"/>
        <v>55.630039342780805</v>
      </c>
      <c r="Y21" s="314" t="str">
        <f t="shared" ca="1" si="22"/>
        <v/>
      </c>
      <c r="Z21" s="315" t="str">
        <f t="shared" ca="1" si="23"/>
        <v/>
      </c>
      <c r="AA21" s="316" t="str">
        <f t="shared" ca="1" si="24"/>
        <v/>
      </c>
      <c r="AC21" s="310" t="e">
        <f t="shared" ca="1" si="25"/>
        <v>#N/A</v>
      </c>
      <c r="AD21" s="323" t="e">
        <f t="shared" ca="1" si="26"/>
        <v>#N/A</v>
      </c>
      <c r="AE21" s="324">
        <f t="shared" ca="1" si="5"/>
        <v>18.046317720041731</v>
      </c>
      <c r="AG21" s="306">
        <f t="shared" ca="1" si="27"/>
        <v>126.92426207565535</v>
      </c>
      <c r="AH21" s="304">
        <f t="shared" ca="1" si="28"/>
        <v>136.58202500578116</v>
      </c>
    </row>
    <row r="22" spans="1:34" x14ac:dyDescent="0.2">
      <c r="A22" s="347">
        <f t="shared" ca="1" si="6"/>
        <v>0.01</v>
      </c>
      <c r="B22" s="304">
        <f t="shared" ca="1" si="7"/>
        <v>0.18000000000000002</v>
      </c>
      <c r="D22" s="306">
        <f t="shared" ca="1" si="8"/>
        <v>23.908644913110791</v>
      </c>
      <c r="E22" s="307">
        <f t="shared" ca="1" si="9"/>
        <v>124.20331654833555</v>
      </c>
      <c r="F22" s="304">
        <f t="shared" ca="1" si="10"/>
        <v>126.48354495027115</v>
      </c>
      <c r="G22" s="306">
        <f t="shared" ca="1" si="11"/>
        <v>21.036560019705913</v>
      </c>
      <c r="H22" s="307">
        <f t="shared" ca="1" si="12"/>
        <v>117.8165366201187</v>
      </c>
      <c r="I22" s="304">
        <f t="shared" ca="1" si="13"/>
        <v>119.67987783509165</v>
      </c>
      <c r="J22" s="306">
        <f t="shared" ca="1" si="14"/>
        <v>3.4065741150413151</v>
      </c>
      <c r="K22" s="307">
        <f t="shared" ca="1" si="15"/>
        <v>19.218272920415501</v>
      </c>
      <c r="L22" s="304">
        <f t="shared" ca="1" si="0"/>
        <v>19.517857496273646</v>
      </c>
      <c r="M22" s="306">
        <f t="shared" ca="1" si="16"/>
        <v>1.3941048037902319</v>
      </c>
      <c r="N22" s="304">
        <f t="shared" ca="1" si="17"/>
        <v>79.876321456094018</v>
      </c>
      <c r="P22" s="310">
        <f t="shared" ca="1" si="18"/>
        <v>2</v>
      </c>
      <c r="Q22" s="304">
        <f t="shared" ca="1" si="19"/>
        <v>866.61111111111109</v>
      </c>
      <c r="R22" s="306">
        <f t="shared" ca="1" si="20"/>
        <v>0.43491173976387998</v>
      </c>
      <c r="S22" s="307">
        <f t="shared" ca="1" si="21"/>
        <v>5.9574312112118912</v>
      </c>
      <c r="T22" s="304">
        <f t="shared" ca="1" si="1"/>
        <v>58.442400181988653</v>
      </c>
      <c r="U22" s="311">
        <f t="shared" ca="1" si="2"/>
        <v>0</v>
      </c>
      <c r="V22" s="306">
        <f t="shared" ca="1" si="3"/>
        <v>1.2226480216153743</v>
      </c>
      <c r="W22" s="304">
        <f t="shared" ca="1" si="4"/>
        <v>56.818026217214694</v>
      </c>
      <c r="Y22" s="314" t="str">
        <f t="shared" ca="1" si="22"/>
        <v/>
      </c>
      <c r="Z22" s="315" t="str">
        <f t="shared" ca="1" si="23"/>
        <v/>
      </c>
      <c r="AA22" s="316" t="str">
        <f t="shared" ca="1" si="24"/>
        <v/>
      </c>
      <c r="AC22" s="310" t="e">
        <f t="shared" ca="1" si="25"/>
        <v>#N/A</v>
      </c>
      <c r="AD22" s="323" t="e">
        <f t="shared" ca="1" si="26"/>
        <v>#N/A</v>
      </c>
      <c r="AE22" s="324">
        <f t="shared" ca="1" si="5"/>
        <v>19.218272920415501</v>
      </c>
      <c r="AG22" s="306">
        <f t="shared" ca="1" si="27"/>
        <v>126.471809474561</v>
      </c>
      <c r="AH22" s="304">
        <f t="shared" ca="1" si="28"/>
        <v>136.12932202088427</v>
      </c>
    </row>
    <row r="23" spans="1:34" x14ac:dyDescent="0.2">
      <c r="A23" s="347">
        <f t="shared" ca="1" si="6"/>
        <v>0.01</v>
      </c>
      <c r="B23" s="304">
        <f t="shared" ca="1" si="7"/>
        <v>0.19000000000000003</v>
      </c>
      <c r="D23" s="306">
        <f t="shared" ca="1" si="8"/>
        <v>23.847965364177249</v>
      </c>
      <c r="E23" s="307">
        <f t="shared" ca="1" si="9"/>
        <v>123.75198361385841</v>
      </c>
      <c r="F23" s="304">
        <f t="shared" ca="1" si="10"/>
        <v>126.02888121528207</v>
      </c>
      <c r="G23" s="306">
        <f t="shared" ca="1" si="11"/>
        <v>21.275039673347685</v>
      </c>
      <c r="H23" s="307">
        <f t="shared" ca="1" si="12"/>
        <v>119.05405645625729</v>
      </c>
      <c r="I23" s="304">
        <f t="shared" ca="1" si="13"/>
        <v>120.94004990817646</v>
      </c>
      <c r="J23" s="306">
        <f t="shared" ca="1" si="14"/>
        <v>3.6181321135065829</v>
      </c>
      <c r="K23" s="307">
        <f t="shared" ca="1" si="15"/>
        <v>20.402625885797381</v>
      </c>
      <c r="L23" s="304">
        <f t="shared" ca="1" si="0"/>
        <v>20.720956132056187</v>
      </c>
      <c r="M23" s="306">
        <f t="shared" ca="1" si="16"/>
        <v>1.393962225812057</v>
      </c>
      <c r="N23" s="304">
        <f t="shared" ca="1" si="17"/>
        <v>79.868152339693083</v>
      </c>
      <c r="P23" s="310">
        <f t="shared" ca="1" si="18"/>
        <v>2</v>
      </c>
      <c r="Q23" s="304">
        <f t="shared" ca="1" si="19"/>
        <v>864.5</v>
      </c>
      <c r="R23" s="306">
        <f t="shared" ca="1" si="20"/>
        <v>0.43385227145751248</v>
      </c>
      <c r="S23" s="307">
        <f t="shared" ca="1" si="21"/>
        <v>5.9530926884973159</v>
      </c>
      <c r="T23" s="304">
        <f t="shared" ca="1" si="1"/>
        <v>58.399839274158673</v>
      </c>
      <c r="U23" s="311">
        <f t="shared" ca="1" si="2"/>
        <v>0</v>
      </c>
      <c r="V23" s="306">
        <f t="shared" ca="1" si="3"/>
        <v>1.2225032253669281</v>
      </c>
      <c r="W23" s="304">
        <f t="shared" ca="1" si="4"/>
        <v>58.013987835472669</v>
      </c>
      <c r="Y23" s="314" t="str">
        <f t="shared" ca="1" si="22"/>
        <v/>
      </c>
      <c r="Z23" s="315" t="str">
        <f t="shared" ca="1" si="23"/>
        <v/>
      </c>
      <c r="AA23" s="316" t="str">
        <f t="shared" ca="1" si="24"/>
        <v/>
      </c>
      <c r="AC23" s="310" t="e">
        <f t="shared" ca="1" si="25"/>
        <v>#N/A</v>
      </c>
      <c r="AD23" s="323" t="e">
        <f t="shared" ca="1" si="26"/>
        <v>#N/A</v>
      </c>
      <c r="AE23" s="324">
        <f t="shared" ca="1" si="5"/>
        <v>20.402625885797381</v>
      </c>
      <c r="AG23" s="306">
        <f t="shared" ca="1" si="27"/>
        <v>126.01708438211419</v>
      </c>
      <c r="AH23" s="304">
        <f t="shared" ca="1" si="28"/>
        <v>135.67434878737978</v>
      </c>
    </row>
    <row r="24" spans="1:34" x14ac:dyDescent="0.2">
      <c r="A24" s="347">
        <f t="shared" ca="1" si="6"/>
        <v>0.01</v>
      </c>
      <c r="B24" s="304">
        <f t="shared" ca="1" si="7"/>
        <v>0.20000000000000004</v>
      </c>
      <c r="D24" s="306">
        <f t="shared" ca="1" si="8"/>
        <v>23.786577056403832</v>
      </c>
      <c r="E24" s="307">
        <f t="shared" ca="1" si="9"/>
        <v>123.29849386202869</v>
      </c>
      <c r="F24" s="304">
        <f t="shared" ca="1" si="10"/>
        <v>125.57197074468874</v>
      </c>
      <c r="G24" s="306">
        <f t="shared" ca="1" si="11"/>
        <v>21.512905443911723</v>
      </c>
      <c r="H24" s="307">
        <f t="shared" ca="1" si="12"/>
        <v>120.28704139487758</v>
      </c>
      <c r="I24" s="304">
        <f t="shared" ca="1" si="13"/>
        <v>122.19565224741704</v>
      </c>
      <c r="J24" s="306">
        <f t="shared" ca="1" si="14"/>
        <v>3.8320718390928801</v>
      </c>
      <c r="K24" s="307">
        <f t="shared" ca="1" si="15"/>
        <v>21.599331375053055</v>
      </c>
      <c r="L24" s="304">
        <f t="shared" ca="1" si="0"/>
        <v>21.93663352543685</v>
      </c>
      <c r="M24" s="306">
        <f t="shared" ca="1" si="16"/>
        <v>1.3938210001920379</v>
      </c>
      <c r="N24" s="304">
        <f t="shared" ca="1" si="17"/>
        <v>79.860060707706879</v>
      </c>
      <c r="P24" s="310">
        <f t="shared" ca="1" si="18"/>
        <v>2</v>
      </c>
      <c r="Q24" s="304">
        <f t="shared" ca="1" si="19"/>
        <v>862.38888888888891</v>
      </c>
      <c r="R24" s="306">
        <f t="shared" ca="1" si="20"/>
        <v>0.43279280315114493</v>
      </c>
      <c r="S24" s="307">
        <f t="shared" ca="1" si="21"/>
        <v>5.9487647604658047</v>
      </c>
      <c r="T24" s="304">
        <f t="shared" ca="1" si="1"/>
        <v>58.357382300169547</v>
      </c>
      <c r="U24" s="311">
        <f t="shared" ca="1" si="2"/>
        <v>0</v>
      </c>
      <c r="V24" s="306">
        <f t="shared" ca="1" si="3"/>
        <v>1.2223569363269624</v>
      </c>
      <c r="W24" s="304">
        <f t="shared" ca="1" si="4"/>
        <v>59.217758973650469</v>
      </c>
      <c r="Y24" s="314" t="str">
        <f t="shared" ca="1" si="22"/>
        <v/>
      </c>
      <c r="Z24" s="315" t="str">
        <f t="shared" ca="1" si="23"/>
        <v/>
      </c>
      <c r="AA24" s="316" t="str">
        <f t="shared" ca="1" si="24"/>
        <v/>
      </c>
      <c r="AC24" s="310" t="e">
        <f t="shared" ca="1" si="25"/>
        <v>#N/A</v>
      </c>
      <c r="AD24" s="323" t="e">
        <f t="shared" ca="1" si="26"/>
        <v>#N/A</v>
      </c>
      <c r="AE24" s="324">
        <f t="shared" ca="1" si="5"/>
        <v>21.599331375053055</v>
      </c>
      <c r="AG24" s="306">
        <f t="shared" ca="1" si="27"/>
        <v>125.56011206642435</v>
      </c>
      <c r="AH24" s="304">
        <f t="shared" ca="1" si="28"/>
        <v>135.21713052079596</v>
      </c>
    </row>
    <row r="25" spans="1:34" x14ac:dyDescent="0.2">
      <c r="A25" s="347">
        <f t="shared" ca="1" si="6"/>
        <v>0.01</v>
      </c>
      <c r="B25" s="304">
        <f t="shared" ca="1" si="7"/>
        <v>0.21000000000000005</v>
      </c>
      <c r="D25" s="306">
        <f t="shared" ca="1" si="8"/>
        <v>23.724489738361893</v>
      </c>
      <c r="E25" s="307">
        <f t="shared" ca="1" si="9"/>
        <v>122.84287139716935</v>
      </c>
      <c r="F25" s="304">
        <f t="shared" ca="1" si="10"/>
        <v>125.11283893528724</v>
      </c>
      <c r="G25" s="306">
        <f t="shared" ca="1" si="11"/>
        <v>21.750150341295342</v>
      </c>
      <c r="H25" s="307">
        <f t="shared" ca="1" si="12"/>
        <v>121.51547010884927</v>
      </c>
      <c r="I25" s="304">
        <f t="shared" ca="1" si="13"/>
        <v>123.44666263469252</v>
      </c>
      <c r="J25" s="306">
        <f t="shared" ca="1" si="14"/>
        <v>4.0483871180189155</v>
      </c>
      <c r="K25" s="307">
        <f t="shared" ca="1" si="15"/>
        <v>22.808343932571688</v>
      </c>
      <c r="L25" s="304">
        <f t="shared" ca="1" si="0"/>
        <v>23.164843863143588</v>
      </c>
      <c r="M25" s="306">
        <f t="shared" ca="1" si="16"/>
        <v>1.393681095277683</v>
      </c>
      <c r="N25" s="304">
        <f t="shared" ca="1" si="17"/>
        <v>79.8520447465812</v>
      </c>
      <c r="P25" s="310">
        <f t="shared" ca="1" si="18"/>
        <v>2</v>
      </c>
      <c r="Q25" s="304">
        <f t="shared" ca="1" si="19"/>
        <v>860.27777777777783</v>
      </c>
      <c r="R25" s="306">
        <f t="shared" ca="1" si="20"/>
        <v>0.43173333484477738</v>
      </c>
      <c r="S25" s="307">
        <f t="shared" ca="1" si="21"/>
        <v>5.9444474271173569</v>
      </c>
      <c r="T25" s="304">
        <f t="shared" ca="1" si="1"/>
        <v>58.315029260021277</v>
      </c>
      <c r="U25" s="311">
        <f t="shared" ca="1" si="2"/>
        <v>0</v>
      </c>
      <c r="V25" s="306">
        <f t="shared" ca="1" si="3"/>
        <v>1.2222091605895169</v>
      </c>
      <c r="W25" s="304">
        <f t="shared" ca="1" si="4"/>
        <v>60.429174297352773</v>
      </c>
      <c r="Y25" s="314" t="str">
        <f t="shared" ca="1" si="22"/>
        <v/>
      </c>
      <c r="Z25" s="315" t="str">
        <f t="shared" ca="1" si="23"/>
        <v/>
      </c>
      <c r="AA25" s="316" t="str">
        <f t="shared" ca="1" si="24"/>
        <v/>
      </c>
      <c r="AC25" s="310" t="e">
        <f t="shared" ca="1" si="25"/>
        <v>#N/A</v>
      </c>
      <c r="AD25" s="323" t="e">
        <f t="shared" ca="1" si="26"/>
        <v>#N/A</v>
      </c>
      <c r="AE25" s="324">
        <f t="shared" ca="1" si="5"/>
        <v>22.808343932571688</v>
      </c>
      <c r="AG25" s="306">
        <f t="shared" ca="1" si="27"/>
        <v>125.10091791409458</v>
      </c>
      <c r="AH25" s="304">
        <f t="shared" ca="1" si="28"/>
        <v>134.75769255689855</v>
      </c>
    </row>
    <row r="26" spans="1:34" x14ac:dyDescent="0.2">
      <c r="A26" s="347">
        <f t="shared" ca="1" si="6"/>
        <v>0.01</v>
      </c>
      <c r="B26" s="304">
        <f t="shared" ca="1" si="7"/>
        <v>0.22000000000000006</v>
      </c>
      <c r="D26" s="306">
        <f t="shared" ca="1" si="8"/>
        <v>23.661713005938413</v>
      </c>
      <c r="E26" s="307">
        <f t="shared" ca="1" si="9"/>
        <v>122.38514046476433</v>
      </c>
      <c r="F26" s="304">
        <f t="shared" ca="1" si="10"/>
        <v>124.65151129832117</v>
      </c>
      <c r="G26" s="306">
        <f t="shared" ca="1" si="11"/>
        <v>21.986767471354725</v>
      </c>
      <c r="H26" s="307">
        <f t="shared" ca="1" si="12"/>
        <v>122.73932151349692</v>
      </c>
      <c r="I26" s="304">
        <f t="shared" ca="1" si="13"/>
        <v>124.69305910688449</v>
      </c>
      <c r="J26" s="306">
        <f t="shared" ca="1" si="14"/>
        <v>4.2670717070821658</v>
      </c>
      <c r="K26" s="307">
        <f t="shared" ca="1" si="15"/>
        <v>24.029617890683419</v>
      </c>
      <c r="L26" s="304">
        <f t="shared" ca="1" si="0"/>
        <v>24.405541111100849</v>
      </c>
      <c r="M26" s="306">
        <f t="shared" ca="1" si="16"/>
        <v>1.3935424804660863</v>
      </c>
      <c r="N26" s="304">
        <f t="shared" ca="1" si="17"/>
        <v>79.844102702898709</v>
      </c>
      <c r="P26" s="310">
        <f t="shared" ca="1" si="18"/>
        <v>2</v>
      </c>
      <c r="Q26" s="304">
        <f t="shared" ca="1" si="19"/>
        <v>858.16666666666663</v>
      </c>
      <c r="R26" s="306">
        <f t="shared" ca="1" si="20"/>
        <v>0.43067386653840978</v>
      </c>
      <c r="S26" s="307">
        <f t="shared" ca="1" si="21"/>
        <v>5.9401406884519732</v>
      </c>
      <c r="T26" s="304">
        <f t="shared" ca="1" si="1"/>
        <v>58.27278015371386</v>
      </c>
      <c r="U26" s="311">
        <f t="shared" ca="1" si="2"/>
        <v>0</v>
      </c>
      <c r="V26" s="306">
        <f t="shared" ca="1" si="3"/>
        <v>1.2220599042772304</v>
      </c>
      <c r="W26" s="304">
        <f t="shared" ca="1" si="4"/>
        <v>61.648068386080887</v>
      </c>
      <c r="Y26" s="314" t="str">
        <f t="shared" ca="1" si="22"/>
        <v/>
      </c>
      <c r="Z26" s="315" t="str">
        <f t="shared" ca="1" si="23"/>
        <v/>
      </c>
      <c r="AA26" s="316" t="str">
        <f t="shared" ca="1" si="24"/>
        <v/>
      </c>
      <c r="AC26" s="310" t="e">
        <f t="shared" ca="1" si="25"/>
        <v>#N/A</v>
      </c>
      <c r="AD26" s="323" t="e">
        <f t="shared" ca="1" si="26"/>
        <v>#N/A</v>
      </c>
      <c r="AE26" s="324">
        <f t="shared" ca="1" si="5"/>
        <v>24.029617890683419</v>
      </c>
      <c r="AG26" s="306">
        <f t="shared" ca="1" si="27"/>
        <v>124.63952742616367</v>
      </c>
      <c r="AH26" s="304">
        <f t="shared" ca="1" si="28"/>
        <v>134.29606034755511</v>
      </c>
    </row>
    <row r="27" spans="1:34" x14ac:dyDescent="0.2">
      <c r="A27" s="347">
        <f t="shared" ca="1" si="6"/>
        <v>0.01</v>
      </c>
      <c r="B27" s="304">
        <f t="shared" ca="1" si="7"/>
        <v>0.23000000000000007</v>
      </c>
      <c r="D27" s="306">
        <f t="shared" ca="1" si="8"/>
        <v>23.598256309646494</v>
      </c>
      <c r="E27" s="307">
        <f t="shared" ca="1" si="9"/>
        <v>121.92532544614411</v>
      </c>
      <c r="F27" s="304">
        <f t="shared" ca="1" si="10"/>
        <v>124.1880134554214</v>
      </c>
      <c r="G27" s="306">
        <f t="shared" ca="1" si="11"/>
        <v>22.222750034451188</v>
      </c>
      <c r="H27" s="307">
        <f t="shared" ca="1" si="12"/>
        <v>123.95857476795835</v>
      </c>
      <c r="I27" s="304">
        <f t="shared" ca="1" si="13"/>
        <v>125.934819956981</v>
      </c>
      <c r="J27" s="306">
        <f t="shared" ca="1" si="14"/>
        <v>4.4881192946111952</v>
      </c>
      <c r="K27" s="307">
        <f t="shared" ca="1" si="15"/>
        <v>25.263107372090694</v>
      </c>
      <c r="L27" s="304">
        <f t="shared" ca="1" si="0"/>
        <v>25.658679016980678</v>
      </c>
      <c r="M27" s="306">
        <f t="shared" ca="1" si="16"/>
        <v>1.3934051261575693</v>
      </c>
      <c r="N27" s="304">
        <f t="shared" ca="1" si="17"/>
        <v>79.836232880722747</v>
      </c>
      <c r="P27" s="310">
        <f t="shared" ca="1" si="18"/>
        <v>2</v>
      </c>
      <c r="Q27" s="304">
        <f t="shared" ca="1" si="19"/>
        <v>856.05555555555554</v>
      </c>
      <c r="R27" s="306">
        <f t="shared" ca="1" si="20"/>
        <v>0.42961439823204223</v>
      </c>
      <c r="S27" s="307">
        <f t="shared" ca="1" si="21"/>
        <v>5.9358445444696528</v>
      </c>
      <c r="T27" s="304">
        <f t="shared" ca="1" si="1"/>
        <v>58.230634981247299</v>
      </c>
      <c r="U27" s="311">
        <f t="shared" ca="1" si="2"/>
        <v>0</v>
      </c>
      <c r="V27" s="306">
        <f t="shared" ca="1" si="3"/>
        <v>1.2219091735409542</v>
      </c>
      <c r="W27" s="304">
        <f t="shared" ca="1" si="4"/>
        <v>62.874275757518376</v>
      </c>
      <c r="Y27" s="314" t="str">
        <f t="shared" ca="1" si="22"/>
        <v/>
      </c>
      <c r="Z27" s="315" t="str">
        <f t="shared" ca="1" si="23"/>
        <v/>
      </c>
      <c r="AA27" s="316" t="str">
        <f t="shared" ca="1" si="24"/>
        <v/>
      </c>
      <c r="AC27" s="310" t="e">
        <f t="shared" ca="1" si="25"/>
        <v>#N/A</v>
      </c>
      <c r="AD27" s="323" t="e">
        <f t="shared" ca="1" si="26"/>
        <v>#N/A</v>
      </c>
      <c r="AE27" s="324">
        <f t="shared" ca="1" si="5"/>
        <v>25.263107372090694</v>
      </c>
      <c r="AG27" s="306">
        <f t="shared" ca="1" si="27"/>
        <v>124.17596621403899</v>
      </c>
      <c r="AH27" s="304">
        <f t="shared" ca="1" si="28"/>
        <v>133.83225945659467</v>
      </c>
    </row>
    <row r="28" spans="1:34" x14ac:dyDescent="0.2">
      <c r="A28" s="347">
        <f t="shared" ca="1" si="6"/>
        <v>0.01</v>
      </c>
      <c r="B28" s="304">
        <f t="shared" ca="1" si="7"/>
        <v>0.24000000000000007</v>
      </c>
      <c r="D28" s="306">
        <f t="shared" ca="1" si="8"/>
        <v>23.534128961486999</v>
      </c>
      <c r="E28" s="307">
        <f t="shared" ca="1" si="9"/>
        <v>121.46345085323523</v>
      </c>
      <c r="F28" s="304">
        <f t="shared" ca="1" si="10"/>
        <v>123.72237113453731</v>
      </c>
      <c r="G28" s="306">
        <f t="shared" ca="1" si="11"/>
        <v>22.458091324066057</v>
      </c>
      <c r="H28" s="307">
        <f t="shared" ca="1" si="12"/>
        <v>125.17320927649071</v>
      </c>
      <c r="I28" s="304">
        <f t="shared" ca="1" si="13"/>
        <v>127.17192373513987</v>
      </c>
      <c r="J28" s="306">
        <f t="shared" ca="1" si="14"/>
        <v>4.7115235014037813</v>
      </c>
      <c r="K28" s="307">
        <f t="shared" ca="1" si="15"/>
        <v>26.508766292312938</v>
      </c>
      <c r="L28" s="304">
        <f t="shared" ca="1" si="0"/>
        <v>26.924211112765157</v>
      </c>
      <c r="M28" s="306">
        <f t="shared" ca="1" si="16"/>
        <v>1.3932690037118625</v>
      </c>
      <c r="N28" s="304">
        <f t="shared" ca="1" si="17"/>
        <v>79.828433639086754</v>
      </c>
      <c r="P28" s="310">
        <f t="shared" ca="1" si="18"/>
        <v>2</v>
      </c>
      <c r="Q28" s="304">
        <f t="shared" ca="1" si="19"/>
        <v>853.94444444444446</v>
      </c>
      <c r="R28" s="306">
        <f t="shared" ca="1" si="20"/>
        <v>0.42855492992567468</v>
      </c>
      <c r="S28" s="307">
        <f t="shared" ca="1" si="21"/>
        <v>5.9315589951703958</v>
      </c>
      <c r="T28" s="304">
        <f t="shared" ca="1" si="1"/>
        <v>58.188593742621585</v>
      </c>
      <c r="U28" s="311">
        <f t="shared" ca="1" si="2"/>
        <v>0</v>
      </c>
      <c r="V28" s="306">
        <f t="shared" ca="1" si="3"/>
        <v>1.2217569745593659</v>
      </c>
      <c r="W28" s="304">
        <f t="shared" ca="1" si="4"/>
        <v>64.107630891709263</v>
      </c>
      <c r="Y28" s="314" t="str">
        <f t="shared" ca="1" si="22"/>
        <v/>
      </c>
      <c r="Z28" s="315" t="str">
        <f t="shared" ca="1" si="23"/>
        <v/>
      </c>
      <c r="AA28" s="316" t="str">
        <f t="shared" ca="1" si="24"/>
        <v/>
      </c>
      <c r="AC28" s="310" t="e">
        <f t="shared" ca="1" si="25"/>
        <v>#N/A</v>
      </c>
      <c r="AD28" s="323" t="e">
        <f t="shared" ca="1" si="26"/>
        <v>#N/A</v>
      </c>
      <c r="AE28" s="324">
        <f t="shared" ca="1" si="5"/>
        <v>26.508766292312938</v>
      </c>
      <c r="AG28" s="306">
        <f t="shared" ca="1" si="27"/>
        <v>123.71025999542104</v>
      </c>
      <c r="AH28" s="304">
        <f t="shared" ca="1" si="28"/>
        <v>133.36631555566296</v>
      </c>
    </row>
    <row r="29" spans="1:34" x14ac:dyDescent="0.2">
      <c r="A29" s="347">
        <f t="shared" ca="1" si="6"/>
        <v>0.01</v>
      </c>
      <c r="B29" s="304">
        <f t="shared" ca="1" si="7"/>
        <v>0.25000000000000006</v>
      </c>
      <c r="D29" s="306">
        <f t="shared" ca="1" si="8"/>
        <v>23.469340141390873</v>
      </c>
      <c r="E29" s="307">
        <f t="shared" ca="1" si="9"/>
        <v>120.99954132337118</v>
      </c>
      <c r="F29" s="304">
        <f t="shared" ca="1" si="10"/>
        <v>123.25461016586158</v>
      </c>
      <c r="G29" s="306">
        <f t="shared" ca="1" si="11"/>
        <v>22.692784725479967</v>
      </c>
      <c r="H29" s="307">
        <f t="shared" ca="1" si="12"/>
        <v>126.38320468972442</v>
      </c>
      <c r="I29" s="304">
        <f t="shared" ca="1" si="13"/>
        <v>128.404349249711</v>
      </c>
      <c r="J29" s="306">
        <f t="shared" ca="1" si="14"/>
        <v>4.9372778816515117</v>
      </c>
      <c r="K29" s="307">
        <f t="shared" ca="1" si="15"/>
        <v>27.766548362144015</v>
      </c>
      <c r="L29" s="304">
        <f t="shared" ca="1" si="0"/>
        <v>28.202090717319656</v>
      </c>
      <c r="M29" s="306">
        <f t="shared" ca="1" si="16"/>
        <v>1.3931340854066574</v>
      </c>
      <c r="N29" s="304">
        <f t="shared" ca="1" si="17"/>
        <v>79.820703389619439</v>
      </c>
      <c r="P29" s="310">
        <f t="shared" ca="1" si="18"/>
        <v>2</v>
      </c>
      <c r="Q29" s="304">
        <f t="shared" ca="1" si="19"/>
        <v>851.83333333333337</v>
      </c>
      <c r="R29" s="306">
        <f t="shared" ca="1" si="20"/>
        <v>0.42749546161930718</v>
      </c>
      <c r="S29" s="307">
        <f t="shared" ca="1" si="21"/>
        <v>5.9272840405542029</v>
      </c>
      <c r="T29" s="304">
        <f t="shared" ca="1" si="1"/>
        <v>58.146656437836732</v>
      </c>
      <c r="U29" s="311">
        <f t="shared" ca="1" si="2"/>
        <v>0</v>
      </c>
      <c r="V29" s="306">
        <f t="shared" ca="1" si="3"/>
        <v>1.2216033135385826</v>
      </c>
      <c r="W29" s="304">
        <f t="shared" ca="1" si="4"/>
        <v>65.347968255122268</v>
      </c>
      <c r="Y29" s="314" t="str">
        <f t="shared" ca="1" si="22"/>
        <v/>
      </c>
      <c r="Z29" s="315" t="str">
        <f t="shared" ca="1" si="23"/>
        <v/>
      </c>
      <c r="AA29" s="316" t="str">
        <f t="shared" ca="1" si="24"/>
        <v/>
      </c>
      <c r="AC29" s="310" t="e">
        <f t="shared" ca="1" si="25"/>
        <v>#N/A</v>
      </c>
      <c r="AD29" s="323" t="e">
        <f t="shared" ca="1" si="26"/>
        <v>#N/A</v>
      </c>
      <c r="AE29" s="324">
        <f t="shared" ca="1" si="5"/>
        <v>27.766548362144015</v>
      </c>
      <c r="AG29" s="306">
        <f t="shared" ca="1" si="27"/>
        <v>123.24243459022182</v>
      </c>
      <c r="AH29" s="304">
        <f t="shared" ca="1" si="28"/>
        <v>132.89825442007526</v>
      </c>
    </row>
    <row r="30" spans="1:34" x14ac:dyDescent="0.2">
      <c r="A30" s="347">
        <f t="shared" ca="1" si="6"/>
        <v>0.01</v>
      </c>
      <c r="B30" s="304">
        <f t="shared" ca="1" si="7"/>
        <v>0.26000000000000006</v>
      </c>
      <c r="D30" s="306">
        <f t="shared" ca="1" si="8"/>
        <v>23.403898903269951</v>
      </c>
      <c r="E30" s="307">
        <f t="shared" ca="1" si="9"/>
        <v>120.53362161416138</v>
      </c>
      <c r="F30" s="304">
        <f t="shared" ca="1" si="10"/>
        <v>122.78475647774975</v>
      </c>
      <c r="G30" s="306">
        <f t="shared" ca="1" si="11"/>
        <v>22.926823714512668</v>
      </c>
      <c r="H30" s="307">
        <f t="shared" ca="1" si="12"/>
        <v>127.58854090586604</v>
      </c>
      <c r="I30" s="304">
        <f t="shared" ca="1" si="13"/>
        <v>129.63207556821806</v>
      </c>
      <c r="J30" s="306">
        <f t="shared" ca="1" si="14"/>
        <v>5.1653759238514745</v>
      </c>
      <c r="K30" s="307">
        <f t="shared" ca="1" si="15"/>
        <v>29.036407090121966</v>
      </c>
      <c r="L30" s="304">
        <f t="shared" ca="1" si="0"/>
        <v>29.492270938976361</v>
      </c>
      <c r="M30" s="306">
        <f t="shared" ca="1" si="16"/>
        <v>1.3930003443983798</v>
      </c>
      <c r="N30" s="304">
        <f t="shared" ca="1" si="17"/>
        <v>79.813040594297306</v>
      </c>
      <c r="P30" s="310">
        <f t="shared" ca="1" si="18"/>
        <v>2</v>
      </c>
      <c r="Q30" s="304">
        <f t="shared" ca="1" si="19"/>
        <v>849.72222222222217</v>
      </c>
      <c r="R30" s="306">
        <f t="shared" ca="1" si="20"/>
        <v>0.42643599331293958</v>
      </c>
      <c r="S30" s="307">
        <f t="shared" ca="1" si="21"/>
        <v>5.9230196806210733</v>
      </c>
      <c r="T30" s="304">
        <f t="shared" ca="1" si="1"/>
        <v>58.104823066892735</v>
      </c>
      <c r="U30" s="311">
        <f t="shared" ca="1" si="2"/>
        <v>0</v>
      </c>
      <c r="V30" s="306">
        <f t="shared" ca="1" si="3"/>
        <v>1.221448196711769</v>
      </c>
      <c r="W30" s="304">
        <f t="shared" ca="1" si="4"/>
        <v>66.595122324595692</v>
      </c>
      <c r="Y30" s="314" t="str">
        <f t="shared" ca="1" si="22"/>
        <v/>
      </c>
      <c r="Z30" s="315" t="str">
        <f t="shared" ca="1" si="23"/>
        <v/>
      </c>
      <c r="AA30" s="316" t="str">
        <f t="shared" ca="1" si="24"/>
        <v/>
      </c>
      <c r="AC30" s="310" t="e">
        <f t="shared" ca="1" si="25"/>
        <v>#N/A</v>
      </c>
      <c r="AD30" s="323" t="e">
        <f t="shared" ca="1" si="26"/>
        <v>#N/A</v>
      </c>
      <c r="AE30" s="324">
        <f t="shared" ca="1" si="5"/>
        <v>29.036407090121966</v>
      </c>
      <c r="AG30" s="306">
        <f t="shared" ca="1" si="27"/>
        <v>122.77251591647806</v>
      </c>
      <c r="AH30" s="304">
        <f t="shared" ca="1" si="28"/>
        <v>132.42810192466763</v>
      </c>
    </row>
    <row r="31" spans="1:34" x14ac:dyDescent="0.2">
      <c r="A31" s="347">
        <f t="shared" ca="1" si="6"/>
        <v>0.01</v>
      </c>
      <c r="B31" s="304">
        <f t="shared" ca="1" si="7"/>
        <v>0.27000000000000007</v>
      </c>
      <c r="D31" s="306">
        <f t="shared" ca="1" si="8"/>
        <v>23.337814180701116</v>
      </c>
      <c r="E31" s="307">
        <f t="shared" ca="1" si="9"/>
        <v>120.06571659841569</v>
      </c>
      <c r="F31" s="304">
        <f t="shared" ca="1" si="10"/>
        <v>122.31283609263588</v>
      </c>
      <c r="G31" s="306">
        <f t="shared" ca="1" si="11"/>
        <v>23.160201856319681</v>
      </c>
      <c r="H31" s="307">
        <f t="shared" ca="1" si="12"/>
        <v>128.78919807185019</v>
      </c>
      <c r="I31" s="304">
        <f t="shared" ca="1" si="13"/>
        <v>130.8550820182989</v>
      </c>
      <c r="J31" s="306">
        <f t="shared" ca="1" si="14"/>
        <v>5.3958110517056364</v>
      </c>
      <c r="K31" s="307">
        <f t="shared" ca="1" si="15"/>
        <v>30.318295785010548</v>
      </c>
      <c r="L31" s="304">
        <f t="shared" ca="1" si="0"/>
        <v>30.794704678127651</v>
      </c>
      <c r="M31" s="306">
        <f t="shared" ca="1" si="16"/>
        <v>1.392867754685041</v>
      </c>
      <c r="N31" s="304">
        <f t="shared" ca="1" si="17"/>
        <v>79.805443763316148</v>
      </c>
      <c r="P31" s="310">
        <f t="shared" ca="1" si="18"/>
        <v>2</v>
      </c>
      <c r="Q31" s="304">
        <f t="shared" ca="1" si="19"/>
        <v>847.61111111111109</v>
      </c>
      <c r="R31" s="306">
        <f t="shared" ca="1" si="20"/>
        <v>0.42537652500657203</v>
      </c>
      <c r="S31" s="307">
        <f t="shared" ca="1" si="21"/>
        <v>5.9187659153710079</v>
      </c>
      <c r="T31" s="304">
        <f t="shared" ca="1" si="1"/>
        <v>58.063093629789591</v>
      </c>
      <c r="U31" s="311">
        <f t="shared" ca="1" si="2"/>
        <v>0</v>
      </c>
      <c r="V31" s="306">
        <f t="shared" ca="1" si="3"/>
        <v>1.2212916303387498</v>
      </c>
      <c r="W31" s="304">
        <f t="shared" ca="1" si="4"/>
        <v>67.848927611156839</v>
      </c>
      <c r="Y31" s="314" t="str">
        <f t="shared" ca="1" si="22"/>
        <v/>
      </c>
      <c r="Z31" s="315" t="str">
        <f t="shared" ca="1" si="23"/>
        <v/>
      </c>
      <c r="AA31" s="316" t="str">
        <f t="shared" ca="1" si="24"/>
        <v/>
      </c>
      <c r="AC31" s="310" t="e">
        <f t="shared" ca="1" si="25"/>
        <v>#N/A</v>
      </c>
      <c r="AD31" s="323" t="e">
        <f t="shared" ca="1" si="26"/>
        <v>#N/A</v>
      </c>
      <c r="AE31" s="324">
        <f t="shared" ca="1" si="5"/>
        <v>30.318295785010548</v>
      </c>
      <c r="AG31" s="306">
        <f t="shared" ca="1" si="27"/>
        <v>122.30052998626074</v>
      </c>
      <c r="AH31" s="304">
        <f t="shared" ca="1" si="28"/>
        <v>131.9558840396476</v>
      </c>
    </row>
    <row r="32" spans="1:34" x14ac:dyDescent="0.2">
      <c r="A32" s="347">
        <f t="shared" ca="1" si="6"/>
        <v>0.01</v>
      </c>
      <c r="B32" s="304">
        <f t="shared" ca="1" si="7"/>
        <v>0.28000000000000008</v>
      </c>
      <c r="D32" s="306">
        <f t="shared" ca="1" si="8"/>
        <v>23.271094792267473</v>
      </c>
      <c r="E32" s="307">
        <f t="shared" ca="1" si="9"/>
        <v>119.59585125912164</v>
      </c>
      <c r="F32" s="304">
        <f t="shared" ca="1" si="10"/>
        <v>121.83887512294525</v>
      </c>
      <c r="G32" s="306">
        <f t="shared" ca="1" si="11"/>
        <v>23.392912804242357</v>
      </c>
      <c r="H32" s="307">
        <f t="shared" ca="1" si="12"/>
        <v>129.9851565844414</v>
      </c>
      <c r="I32" s="304">
        <f t="shared" ca="1" si="13"/>
        <v>132.07334818860554</v>
      </c>
      <c r="J32" s="306">
        <f t="shared" ca="1" si="14"/>
        <v>5.6285766250084466</v>
      </c>
      <c r="K32" s="307">
        <f t="shared" ca="1" si="15"/>
        <v>31.612167558292008</v>
      </c>
      <c r="L32" s="304">
        <f t="shared" ca="1" si="0"/>
        <v>32.10934462982889</v>
      </c>
      <c r="M32" s="306">
        <f t="shared" ca="1" si="16"/>
        <v>1.3927362910710357</v>
      </c>
      <c r="N32" s="304">
        <f t="shared" ca="1" si="17"/>
        <v>79.797911453074107</v>
      </c>
      <c r="P32" s="310">
        <f t="shared" ca="1" si="18"/>
        <v>2</v>
      </c>
      <c r="Q32" s="304">
        <f t="shared" ca="1" si="19"/>
        <v>845.5</v>
      </c>
      <c r="R32" s="306">
        <f t="shared" ca="1" si="20"/>
        <v>0.42431705670020448</v>
      </c>
      <c r="S32" s="307">
        <f t="shared" ca="1" si="21"/>
        <v>5.9145227448040059</v>
      </c>
      <c r="T32" s="304">
        <f t="shared" ca="1" si="1"/>
        <v>58.021468126527303</v>
      </c>
      <c r="U32" s="311">
        <f t="shared" ca="1" si="2"/>
        <v>0</v>
      </c>
      <c r="V32" s="306">
        <f t="shared" ca="1" si="3"/>
        <v>1.2211336207056145</v>
      </c>
      <c r="W32" s="304">
        <f t="shared" ca="1" si="4"/>
        <v>69.109218683710637</v>
      </c>
      <c r="Y32" s="314" t="str">
        <f t="shared" ca="1" si="22"/>
        <v/>
      </c>
      <c r="Z32" s="315" t="str">
        <f t="shared" ca="1" si="23"/>
        <v/>
      </c>
      <c r="AA32" s="316" t="str">
        <f t="shared" ca="1" si="24"/>
        <v/>
      </c>
      <c r="AC32" s="310" t="e">
        <f t="shared" ca="1" si="25"/>
        <v>#N/A</v>
      </c>
      <c r="AD32" s="323" t="e">
        <f t="shared" ca="1" si="26"/>
        <v>#N/A</v>
      </c>
      <c r="AE32" s="324">
        <f t="shared" ca="1" si="5"/>
        <v>31.612167558292008</v>
      </c>
      <c r="AG32" s="306">
        <f t="shared" ca="1" si="27"/>
        <v>121.8265029015818</v>
      </c>
      <c r="AH32" s="304">
        <f t="shared" ca="1" si="28"/>
        <v>131.48162682644528</v>
      </c>
    </row>
    <row r="33" spans="1:34" x14ac:dyDescent="0.2">
      <c r="A33" s="347">
        <f t="shared" ca="1" si="6"/>
        <v>0.01</v>
      </c>
      <c r="B33" s="304">
        <f t="shared" ca="1" si="7"/>
        <v>0.29000000000000009</v>
      </c>
      <c r="D33" s="306">
        <f t="shared" ca="1" si="8"/>
        <v>23.203749446578421</v>
      </c>
      <c r="E33" s="307">
        <f t="shared" ca="1" si="9"/>
        <v>119.12405068447299</v>
      </c>
      <c r="F33" s="304">
        <f t="shared" ca="1" si="10"/>
        <v>121.36289976700655</v>
      </c>
      <c r="G33" s="306">
        <f t="shared" ca="1" si="11"/>
        <v>23.624950298708143</v>
      </c>
      <c r="H33" s="307">
        <f t="shared" ca="1" si="12"/>
        <v>131.17639709128613</v>
      </c>
      <c r="I33" s="304">
        <f t="shared" ca="1" si="13"/>
        <v>133.28685392966258</v>
      </c>
      <c r="J33" s="306">
        <f t="shared" ca="1" si="14"/>
        <v>5.863665940523199</v>
      </c>
      <c r="K33" s="307">
        <f t="shared" ca="1" si="15"/>
        <v>32.917975326670643</v>
      </c>
      <c r="L33" s="304">
        <f t="shared" ca="1" si="0"/>
        <v>33.436143286410129</v>
      </c>
      <c r="M33" s="306">
        <f t="shared" ca="1" si="16"/>
        <v>1.3926059291337678</v>
      </c>
      <c r="N33" s="304">
        <f t="shared" ca="1" si="17"/>
        <v>79.790442264259511</v>
      </c>
      <c r="P33" s="310">
        <f t="shared" ca="1" si="18"/>
        <v>2</v>
      </c>
      <c r="Q33" s="304">
        <f t="shared" ca="1" si="19"/>
        <v>843.38888888888891</v>
      </c>
      <c r="R33" s="306">
        <f t="shared" ca="1" si="20"/>
        <v>0.42325758839383693</v>
      </c>
      <c r="S33" s="307">
        <f t="shared" ca="1" si="21"/>
        <v>5.9102901689200671</v>
      </c>
      <c r="T33" s="304">
        <f t="shared" ca="1" si="1"/>
        <v>57.979946557105862</v>
      </c>
      <c r="U33" s="311">
        <f t="shared" ca="1" si="2"/>
        <v>0</v>
      </c>
      <c r="V33" s="306">
        <f t="shared" ca="1" si="3"/>
        <v>1.2209741741243254</v>
      </c>
      <c r="W33" s="304">
        <f t="shared" ca="1" si="4"/>
        <v>70.37583019259128</v>
      </c>
      <c r="Y33" s="314" t="str">
        <f t="shared" ca="1" si="22"/>
        <v/>
      </c>
      <c r="Z33" s="315" t="str">
        <f t="shared" ca="1" si="23"/>
        <v/>
      </c>
      <c r="AA33" s="316" t="str">
        <f t="shared" ca="1" si="24"/>
        <v/>
      </c>
      <c r="AC33" s="310" t="e">
        <f t="shared" ca="1" si="25"/>
        <v>#N/A</v>
      </c>
      <c r="AD33" s="323" t="e">
        <f t="shared" ca="1" si="26"/>
        <v>#N/A</v>
      </c>
      <c r="AE33" s="324">
        <f t="shared" ca="1" si="5"/>
        <v>32.917975326670643</v>
      </c>
      <c r="AG33" s="306">
        <f t="shared" ca="1" si="27"/>
        <v>121.35046085030027</v>
      </c>
      <c r="AH33" s="304">
        <f t="shared" ca="1" si="28"/>
        <v>131.00535643356665</v>
      </c>
    </row>
    <row r="34" spans="1:34" x14ac:dyDescent="0.2">
      <c r="A34" s="347">
        <f t="shared" ca="1" si="6"/>
        <v>0.01</v>
      </c>
      <c r="B34" s="304">
        <f t="shared" ca="1" si="7"/>
        <v>0.3000000000000001</v>
      </c>
      <c r="D34" s="306">
        <f t="shared" ca="1" si="8"/>
        <v>23.13578674698843</v>
      </c>
      <c r="E34" s="307">
        <f t="shared" ca="1" si="9"/>
        <v>118.65034006294704</v>
      </c>
      <c r="F34" s="304">
        <f t="shared" ca="1" si="10"/>
        <v>120.88493630496357</v>
      </c>
      <c r="G34" s="306">
        <f t="shared" ca="1" si="11"/>
        <v>23.856308166178028</v>
      </c>
      <c r="H34" s="307">
        <f t="shared" ca="1" si="12"/>
        <v>132.36290049191561</v>
      </c>
      <c r="I34" s="304">
        <f t="shared" ca="1" si="13"/>
        <v>134.49557935468513</v>
      </c>
      <c r="J34" s="306">
        <f t="shared" ca="1" si="14"/>
        <v>6.1010722328476295</v>
      </c>
      <c r="K34" s="307">
        <f t="shared" ca="1" si="15"/>
        <v>34.235671814586652</v>
      </c>
      <c r="L34" s="304">
        <f t="shared" ca="1" si="0"/>
        <v>34.775052940096401</v>
      </c>
      <c r="M34" s="306">
        <f t="shared" ca="1" si="16"/>
        <v>1.3924766451919868</v>
      </c>
      <c r="N34" s="304">
        <f t="shared" ca="1" si="17"/>
        <v>79.783034840036635</v>
      </c>
      <c r="P34" s="310">
        <f t="shared" ca="1" si="18"/>
        <v>2</v>
      </c>
      <c r="Q34" s="304">
        <f t="shared" ca="1" si="19"/>
        <v>841.27777777777771</v>
      </c>
      <c r="R34" s="306">
        <f t="shared" ca="1" si="20"/>
        <v>0.42219812008746938</v>
      </c>
      <c r="S34" s="307">
        <f t="shared" ca="1" si="21"/>
        <v>5.9060681877191925</v>
      </c>
      <c r="T34" s="304">
        <f t="shared" ca="1" si="1"/>
        <v>57.938528921525283</v>
      </c>
      <c r="U34" s="311">
        <f t="shared" ca="1" si="2"/>
        <v>0</v>
      </c>
      <c r="V34" s="306">
        <f t="shared" ca="1" si="3"/>
        <v>1.2208132969323238</v>
      </c>
      <c r="W34" s="304">
        <f t="shared" ca="1" si="4"/>
        <v>71.648596892972009</v>
      </c>
      <c r="Y34" s="314" t="str">
        <f t="shared" ca="1" si="22"/>
        <v/>
      </c>
      <c r="Z34" s="315" t="str">
        <f t="shared" ca="1" si="23"/>
        <v/>
      </c>
      <c r="AA34" s="316" t="str">
        <f t="shared" ca="1" si="24"/>
        <v/>
      </c>
      <c r="AC34" s="310" t="e">
        <f t="shared" ca="1" si="25"/>
        <v>#N/A</v>
      </c>
      <c r="AD34" s="323" t="e">
        <f t="shared" ca="1" si="26"/>
        <v>#N/A</v>
      </c>
      <c r="AE34" s="324">
        <f t="shared" ca="1" si="5"/>
        <v>34.235671814586652</v>
      </c>
      <c r="AG34" s="306">
        <f t="shared" ca="1" si="27"/>
        <v>120.87243010202825</v>
      </c>
      <c r="AH34" s="304">
        <f t="shared" ca="1" si="28"/>
        <v>130.52709909244948</v>
      </c>
    </row>
    <row r="35" spans="1:34" x14ac:dyDescent="0.2">
      <c r="A35" s="347">
        <f t="shared" ca="1" si="6"/>
        <v>0.01</v>
      </c>
      <c r="B35" s="304">
        <f t="shared" ca="1" si="7"/>
        <v>0.31000000000000011</v>
      </c>
      <c r="D35" s="306">
        <f t="shared" ca="1" si="8"/>
        <v>23.067215196033764</v>
      </c>
      <c r="E35" s="307">
        <f t="shared" ca="1" si="9"/>
        <v>118.17474467842921</v>
      </c>
      <c r="F35" s="304">
        <f t="shared" ca="1" si="10"/>
        <v>120.4050110946885</v>
      </c>
      <c r="G35" s="306">
        <f t="shared" ca="1" si="11"/>
        <v>24.086980318138366</v>
      </c>
      <c r="H35" s="307">
        <f t="shared" ca="1" si="12"/>
        <v>133.54464793869991</v>
      </c>
      <c r="I35" s="304">
        <f t="shared" ca="1" si="13"/>
        <v>135.69950484035559</v>
      </c>
      <c r="J35" s="306">
        <f t="shared" ca="1" si="14"/>
        <v>6.3407886752692111</v>
      </c>
      <c r="K35" s="307">
        <f t="shared" ca="1" si="15"/>
        <v>35.565209556739731</v>
      </c>
      <c r="L35" s="304">
        <f t="shared" ca="1" si="0"/>
        <v>36.126025685636016</v>
      </c>
      <c r="M35" s="306">
        <f t="shared" ca="1" si="16"/>
        <v>1.3923484162757347</v>
      </c>
      <c r="N35" s="304">
        <f t="shared" ca="1" si="17"/>
        <v>79.775687864323857</v>
      </c>
      <c r="P35" s="310">
        <f t="shared" ca="1" si="18"/>
        <v>2</v>
      </c>
      <c r="Q35" s="304">
        <f t="shared" ca="1" si="19"/>
        <v>839.16666666666663</v>
      </c>
      <c r="R35" s="306">
        <f t="shared" ca="1" si="20"/>
        <v>0.42113865178110182</v>
      </c>
      <c r="S35" s="307">
        <f t="shared" ca="1" si="21"/>
        <v>5.9018568012013812</v>
      </c>
      <c r="T35" s="304">
        <f t="shared" ca="1" si="1"/>
        <v>57.897215219785551</v>
      </c>
      <c r="U35" s="311">
        <f t="shared" ca="1" si="2"/>
        <v>0</v>
      </c>
      <c r="V35" s="306">
        <f t="shared" ca="1" si="3"/>
        <v>1.2206509954921339</v>
      </c>
      <c r="W35" s="304">
        <f t="shared" ca="1" si="4"/>
        <v>72.927353668127026</v>
      </c>
      <c r="Y35" s="314" t="str">
        <f t="shared" ca="1" si="22"/>
        <v/>
      </c>
      <c r="Z35" s="315" t="str">
        <f t="shared" ca="1" si="23"/>
        <v/>
      </c>
      <c r="AA35" s="316" t="str">
        <f t="shared" ca="1" si="24"/>
        <v/>
      </c>
      <c r="AC35" s="310" t="e">
        <f t="shared" ca="1" si="25"/>
        <v>#N/A</v>
      </c>
      <c r="AD35" s="323" t="e">
        <f t="shared" ca="1" si="26"/>
        <v>#N/A</v>
      </c>
      <c r="AE35" s="324">
        <f t="shared" ca="1" si="5"/>
        <v>35.565209556739731</v>
      </c>
      <c r="AG35" s="306">
        <f t="shared" ca="1" si="27"/>
        <v>120.39243700403847</v>
      </c>
      <c r="AH35" s="304">
        <f t="shared" ca="1" si="28"/>
        <v>130.04688111332331</v>
      </c>
    </row>
    <row r="36" spans="1:34" x14ac:dyDescent="0.2">
      <c r="A36" s="347">
        <f t="shared" ca="1" si="6"/>
        <v>0.01</v>
      </c>
      <c r="B36" s="304">
        <f t="shared" ca="1" si="7"/>
        <v>0.32000000000000012</v>
      </c>
      <c r="D36" s="306">
        <f t="shared" ca="1" si="8"/>
        <v>22.998043199604062</v>
      </c>
      <c r="E36" s="307">
        <f t="shared" ca="1" si="9"/>
        <v>117.69728990538354</v>
      </c>
      <c r="F36" s="304">
        <f t="shared" ca="1" si="10"/>
        <v>119.92315056769795</v>
      </c>
      <c r="G36" s="306">
        <f t="shared" ca="1" si="11"/>
        <v>24.316960750134406</v>
      </c>
      <c r="H36" s="307">
        <f t="shared" ca="1" si="12"/>
        <v>134.72162083775373</v>
      </c>
      <c r="I36" s="304">
        <f t="shared" ca="1" si="13"/>
        <v>136.89861102755958</v>
      </c>
      <c r="J36" s="306">
        <f t="shared" ca="1" si="14"/>
        <v>6.582808380610575</v>
      </c>
      <c r="K36" s="307">
        <f t="shared" ca="1" si="15"/>
        <v>36.906540900621998</v>
      </c>
      <c r="L36" s="304">
        <f t="shared" ca="1" si="0"/>
        <v>37.489013422936608</v>
      </c>
      <c r="M36" s="306">
        <f t="shared" ca="1" si="16"/>
        <v>1.392221220097803</v>
      </c>
      <c r="N36" s="304">
        <f t="shared" ca="1" si="17"/>
        <v>79.768400060158172</v>
      </c>
      <c r="P36" s="310">
        <f t="shared" ca="1" si="18"/>
        <v>2</v>
      </c>
      <c r="Q36" s="304">
        <f t="shared" ca="1" si="19"/>
        <v>837.05555555555554</v>
      </c>
      <c r="R36" s="306">
        <f t="shared" ca="1" si="20"/>
        <v>0.42007918347473427</v>
      </c>
      <c r="S36" s="307">
        <f t="shared" ca="1" si="21"/>
        <v>5.8976560093666341</v>
      </c>
      <c r="T36" s="304">
        <f t="shared" ca="1" si="1"/>
        <v>57.856005451886681</v>
      </c>
      <c r="U36" s="311">
        <f t="shared" ca="1" si="2"/>
        <v>0</v>
      </c>
      <c r="V36" s="306">
        <f t="shared" ca="1" si="3"/>
        <v>1.2204872761909655</v>
      </c>
      <c r="W36" s="304">
        <f t="shared" ca="1" si="4"/>
        <v>74.211935552540751</v>
      </c>
      <c r="Y36" s="314" t="str">
        <f t="shared" ca="1" si="22"/>
        <v/>
      </c>
      <c r="Z36" s="315" t="str">
        <f t="shared" ca="1" si="23"/>
        <v/>
      </c>
      <c r="AA36" s="316" t="str">
        <f t="shared" ca="1" si="24"/>
        <v/>
      </c>
      <c r="AC36" s="310" t="e">
        <f t="shared" ca="1" si="25"/>
        <v>#N/A</v>
      </c>
      <c r="AD36" s="323" t="e">
        <f t="shared" ca="1" si="26"/>
        <v>#N/A</v>
      </c>
      <c r="AE36" s="324">
        <f t="shared" ca="1" si="5"/>
        <v>36.906540900621998</v>
      </c>
      <c r="AG36" s="306">
        <f t="shared" ca="1" si="27"/>
        <v>119.9105079771746</v>
      </c>
      <c r="AH36" s="304">
        <f t="shared" ca="1" si="28"/>
        <v>129.56472888107464</v>
      </c>
    </row>
    <row r="37" spans="1:34" x14ac:dyDescent="0.2">
      <c r="A37" s="347">
        <f t="shared" ca="1" si="6"/>
        <v>0.01</v>
      </c>
      <c r="B37" s="304">
        <f t="shared" ca="1" si="7"/>
        <v>0.33000000000000013</v>
      </c>
      <c r="D37" s="306">
        <f t="shared" ca="1" si="8"/>
        <v>22.92827907086539</v>
      </c>
      <c r="E37" s="307">
        <f t="shared" ca="1" si="9"/>
        <v>117.21800120406732</v>
      </c>
      <c r="F37" s="304">
        <f t="shared" ca="1" si="10"/>
        <v>119.43938122507255</v>
      </c>
      <c r="G37" s="306">
        <f t="shared" ca="1" si="11"/>
        <v>24.546243540843061</v>
      </c>
      <c r="H37" s="307">
        <f t="shared" ca="1" si="12"/>
        <v>135.89380084979442</v>
      </c>
      <c r="I37" s="304">
        <f t="shared" ca="1" si="13"/>
        <v>138.09287882208108</v>
      </c>
      <c r="J37" s="306">
        <f t="shared" ca="1" si="14"/>
        <v>6.8271244020654622</v>
      </c>
      <c r="K37" s="307">
        <f t="shared" ca="1" si="15"/>
        <v>38.259618009059736</v>
      </c>
      <c r="L37" s="304">
        <f t="shared" ca="1" si="0"/>
        <v>38.863967859708374</v>
      </c>
      <c r="M37" s="306">
        <f t="shared" ca="1" si="16"/>
        <v>1.3920950350266112</v>
      </c>
      <c r="N37" s="304">
        <f t="shared" ca="1" si="17"/>
        <v>79.761170188141335</v>
      </c>
      <c r="P37" s="310">
        <f t="shared" ca="1" si="18"/>
        <v>2</v>
      </c>
      <c r="Q37" s="304">
        <f t="shared" ca="1" si="19"/>
        <v>834.94444444444446</v>
      </c>
      <c r="R37" s="306">
        <f t="shared" ca="1" si="20"/>
        <v>0.41901971516836672</v>
      </c>
      <c r="S37" s="307">
        <f t="shared" ca="1" si="21"/>
        <v>5.8934658122149504</v>
      </c>
      <c r="T37" s="304">
        <f t="shared" ca="1" si="1"/>
        <v>57.814899617828665</v>
      </c>
      <c r="U37" s="311">
        <f t="shared" ca="1" si="2"/>
        <v>0</v>
      </c>
      <c r="V37" s="306">
        <f t="shared" ca="1" si="3"/>
        <v>1.2203221454403181</v>
      </c>
      <c r="W37" s="304">
        <f t="shared" ca="1" si="4"/>
        <v>75.502177754858522</v>
      </c>
      <c r="Y37" s="314" t="str">
        <f t="shared" ca="1" si="22"/>
        <v/>
      </c>
      <c r="Z37" s="315" t="str">
        <f t="shared" ca="1" si="23"/>
        <v/>
      </c>
      <c r="AA37" s="316" t="str">
        <f t="shared" ca="1" si="24"/>
        <v/>
      </c>
      <c r="AC37" s="310" t="e">
        <f t="shared" ca="1" si="25"/>
        <v>#N/A</v>
      </c>
      <c r="AD37" s="323" t="e">
        <f t="shared" ca="1" si="26"/>
        <v>#N/A</v>
      </c>
      <c r="AE37" s="324">
        <f t="shared" ca="1" si="5"/>
        <v>38.259618009059736</v>
      </c>
      <c r="AG37" s="306">
        <f t="shared" ca="1" si="27"/>
        <v>119.4266695117654</v>
      </c>
      <c r="AH37" s="304">
        <f t="shared" ca="1" si="28"/>
        <v>129.08066885111811</v>
      </c>
    </row>
    <row r="38" spans="1:34" x14ac:dyDescent="0.2">
      <c r="A38" s="347">
        <f t="shared" ca="1" si="6"/>
        <v>0.01</v>
      </c>
      <c r="B38" s="304">
        <f t="shared" ca="1" si="7"/>
        <v>0.34000000000000014</v>
      </c>
      <c r="D38" s="306">
        <f t="shared" ca="1" si="8"/>
        <v>22.857931033949541</v>
      </c>
      <c r="E38" s="307">
        <f t="shared" ca="1" si="9"/>
        <v>116.73690411578909</v>
      </c>
      <c r="F38" s="304">
        <f t="shared" ca="1" si="10"/>
        <v>118.95372963338194</v>
      </c>
      <c r="G38" s="306">
        <f t="shared" ca="1" si="11"/>
        <v>24.774822851182556</v>
      </c>
      <c r="H38" s="307">
        <f t="shared" ca="1" si="12"/>
        <v>137.0611698909523</v>
      </c>
      <c r="I38" s="304">
        <f t="shared" ca="1" si="13"/>
        <v>139.28228939525647</v>
      </c>
      <c r="J38" s="306">
        <f t="shared" ca="1" si="14"/>
        <v>7.0737297340255907</v>
      </c>
      <c r="K38" s="307">
        <f t="shared" ca="1" si="15"/>
        <v>39.624392862763472</v>
      </c>
      <c r="L38" s="304">
        <f t="shared" ca="1" si="0"/>
        <v>40.250840514114216</v>
      </c>
      <c r="M38" s="306">
        <f t="shared" ca="1" si="16"/>
        <v>1.391969840060421</v>
      </c>
      <c r="N38" s="304">
        <f t="shared" ca="1" si="17"/>
        <v>79.753997044962347</v>
      </c>
      <c r="P38" s="310">
        <f t="shared" ca="1" si="18"/>
        <v>2</v>
      </c>
      <c r="Q38" s="304">
        <f t="shared" ca="1" si="19"/>
        <v>832.83333333333326</v>
      </c>
      <c r="R38" s="306">
        <f t="shared" ca="1" si="20"/>
        <v>0.41796024686199912</v>
      </c>
      <c r="S38" s="307">
        <f t="shared" ca="1" si="21"/>
        <v>5.8892862097463308</v>
      </c>
      <c r="T38" s="304">
        <f t="shared" ca="1" si="1"/>
        <v>57.773897717611504</v>
      </c>
      <c r="U38" s="311">
        <f t="shared" ca="1" si="2"/>
        <v>0</v>
      </c>
      <c r="V38" s="306">
        <f t="shared" ca="1" si="3"/>
        <v>1.2201556096755815</v>
      </c>
      <c r="W38" s="304">
        <f t="shared" ca="1" si="4"/>
        <v>76.79791568067391</v>
      </c>
      <c r="Y38" s="314" t="str">
        <f t="shared" ca="1" si="22"/>
        <v/>
      </c>
      <c r="Z38" s="315" t="str">
        <f t="shared" ca="1" si="23"/>
        <v/>
      </c>
      <c r="AA38" s="316" t="str">
        <f t="shared" ca="1" si="24"/>
        <v/>
      </c>
      <c r="AC38" s="310" t="e">
        <f t="shared" ca="1" si="25"/>
        <v>#N/A</v>
      </c>
      <c r="AD38" s="323" t="e">
        <f t="shared" ca="1" si="26"/>
        <v>#N/A</v>
      </c>
      <c r="AE38" s="324">
        <f t="shared" ca="1" si="5"/>
        <v>39.624392862763472</v>
      </c>
      <c r="AG38" s="306">
        <f t="shared" ca="1" si="27"/>
        <v>118.94094816354402</v>
      </c>
      <c r="AH38" s="304">
        <f t="shared" ca="1" si="28"/>
        <v>128.59472754527502</v>
      </c>
    </row>
    <row r="39" spans="1:34" x14ac:dyDescent="0.2">
      <c r="A39" s="347">
        <f t="shared" ca="1" si="6"/>
        <v>0.01</v>
      </c>
      <c r="B39" s="304">
        <f t="shared" ca="1" si="7"/>
        <v>0.35000000000000014</v>
      </c>
      <c r="D39" s="306">
        <f t="shared" ca="1" si="8"/>
        <v>22.787007227423924</v>
      </c>
      <c r="E39" s="307">
        <f t="shared" ca="1" si="9"/>
        <v>116.25402425820899</v>
      </c>
      <c r="F39" s="304">
        <f t="shared" ca="1" si="10"/>
        <v>118.46622242061622</v>
      </c>
      <c r="G39" s="306">
        <f t="shared" ca="1" si="11"/>
        <v>25.002692923456795</v>
      </c>
      <c r="H39" s="307">
        <f t="shared" ca="1" si="12"/>
        <v>138.22371013353438</v>
      </c>
      <c r="I39" s="304">
        <f t="shared" ca="1" si="13"/>
        <v>140.46682418458821</v>
      </c>
      <c r="J39" s="306">
        <f t="shared" ca="1" si="14"/>
        <v>7.322617312898787</v>
      </c>
      <c r="K39" s="307">
        <f t="shared" ca="1" si="15"/>
        <v>41.000817262885903</v>
      </c>
      <c r="L39" s="304">
        <f t="shared" ca="1" si="0"/>
        <v>41.649582717426206</v>
      </c>
      <c r="M39" s="306">
        <f t="shared" ca="1" si="16"/>
        <v>1.3918456148028095</v>
      </c>
      <c r="N39" s="304">
        <f t="shared" ca="1" si="17"/>
        <v>79.746879461992279</v>
      </c>
      <c r="P39" s="310">
        <f t="shared" ca="1" si="18"/>
        <v>2</v>
      </c>
      <c r="Q39" s="304">
        <f t="shared" ca="1" si="19"/>
        <v>830.72222222222217</v>
      </c>
      <c r="R39" s="306">
        <f t="shared" ca="1" si="20"/>
        <v>0.41690077855563162</v>
      </c>
      <c r="S39" s="307">
        <f t="shared" ca="1" si="21"/>
        <v>5.8851172019607745</v>
      </c>
      <c r="T39" s="304">
        <f t="shared" ca="1" si="1"/>
        <v>57.732999751235198</v>
      </c>
      <c r="U39" s="311">
        <f t="shared" ca="1" si="2"/>
        <v>0</v>
      </c>
      <c r="V39" s="306">
        <f t="shared" ca="1" si="3"/>
        <v>1.2199876753556367</v>
      </c>
      <c r="W39" s="304">
        <f t="shared" ca="1" si="4"/>
        <v>78.098984955147785</v>
      </c>
      <c r="Y39" s="314" t="str">
        <f t="shared" ca="1" si="22"/>
        <v/>
      </c>
      <c r="Z39" s="315" t="str">
        <f t="shared" ca="1" si="23"/>
        <v/>
      </c>
      <c r="AA39" s="316" t="str">
        <f t="shared" ca="1" si="24"/>
        <v/>
      </c>
      <c r="AC39" s="310" t="e">
        <f t="shared" ca="1" si="25"/>
        <v>#N/A</v>
      </c>
      <c r="AD39" s="323" t="e">
        <f t="shared" ca="1" si="26"/>
        <v>#N/A</v>
      </c>
      <c r="AE39" s="324">
        <f t="shared" ca="1" si="5"/>
        <v>41.000817262885903</v>
      </c>
      <c r="AG39" s="306">
        <f t="shared" ca="1" si="27"/>
        <v>118.45337054957403</v>
      </c>
      <c r="AH39" s="304">
        <f t="shared" ca="1" si="28"/>
        <v>128.10693154766051</v>
      </c>
    </row>
    <row r="40" spans="1:34" x14ac:dyDescent="0.2">
      <c r="A40" s="347">
        <f t="shared" ca="1" si="6"/>
        <v>0.01</v>
      </c>
      <c r="B40" s="304">
        <f t="shared" ca="1" si="7"/>
        <v>0.36000000000000015</v>
      </c>
      <c r="D40" s="306">
        <f t="shared" ca="1" si="8"/>
        <v>22.715515707554783</v>
      </c>
      <c r="E40" s="307">
        <f t="shared" ca="1" si="9"/>
        <v>115.7693873206798</v>
      </c>
      <c r="F40" s="304">
        <f t="shared" ca="1" si="10"/>
        <v>117.97688627212428</v>
      </c>
      <c r="G40" s="306">
        <f t="shared" ca="1" si="11"/>
        <v>25.229848080532342</v>
      </c>
      <c r="H40" s="307">
        <f t="shared" ca="1" si="12"/>
        <v>139.38140400674118</v>
      </c>
      <c r="I40" s="304">
        <f t="shared" ca="1" si="13"/>
        <v>141.6464648943176</v>
      </c>
      <c r="J40" s="306">
        <f t="shared" ca="1" si="14"/>
        <v>7.5737800179187325</v>
      </c>
      <c r="K40" s="307">
        <f t="shared" ca="1" si="15"/>
        <v>42.388842833587283</v>
      </c>
      <c r="L40" s="304">
        <f t="shared" ca="1" si="0"/>
        <v>43.060145616688168</v>
      </c>
      <c r="M40" s="306">
        <f t="shared" ca="1" si="16"/>
        <v>1.3917223394393266</v>
      </c>
      <c r="N40" s="304">
        <f t="shared" ca="1" si="17"/>
        <v>79.739816303946768</v>
      </c>
      <c r="P40" s="310">
        <f t="shared" ca="1" si="18"/>
        <v>2</v>
      </c>
      <c r="Q40" s="304">
        <f t="shared" ca="1" si="19"/>
        <v>828.61111111111109</v>
      </c>
      <c r="R40" s="306">
        <f t="shared" ca="1" si="20"/>
        <v>0.41584131024926407</v>
      </c>
      <c r="S40" s="307">
        <f t="shared" ca="1" si="21"/>
        <v>5.8809587888582815</v>
      </c>
      <c r="T40" s="304">
        <f t="shared" ca="1" si="1"/>
        <v>57.692205718699746</v>
      </c>
      <c r="U40" s="311">
        <f t="shared" ca="1" si="2"/>
        <v>0</v>
      </c>
      <c r="V40" s="306">
        <f t="shared" ca="1" si="3"/>
        <v>1.2198183489624581</v>
      </c>
      <c r="W40" s="304">
        <f t="shared" ca="1" si="4"/>
        <v>79.405221445453734</v>
      </c>
      <c r="Y40" s="314" t="str">
        <f t="shared" ca="1" si="22"/>
        <v/>
      </c>
      <c r="Z40" s="315" t="str">
        <f t="shared" ca="1" si="23"/>
        <v/>
      </c>
      <c r="AA40" s="316" t="str">
        <f t="shared" ca="1" si="24"/>
        <v/>
      </c>
      <c r="AC40" s="310" t="e">
        <f t="shared" ca="1" si="25"/>
        <v>#N/A</v>
      </c>
      <c r="AD40" s="323" t="e">
        <f t="shared" ca="1" si="26"/>
        <v>#N/A</v>
      </c>
      <c r="AE40" s="324">
        <f t="shared" ca="1" si="5"/>
        <v>42.388842833587283</v>
      </c>
      <c r="AG40" s="306">
        <f t="shared" ca="1" si="27"/>
        <v>117.96396334418233</v>
      </c>
      <c r="AH40" s="304">
        <f t="shared" ca="1" si="28"/>
        <v>127.61730750057957</v>
      </c>
    </row>
    <row r="41" spans="1:34" x14ac:dyDescent="0.2">
      <c r="A41" s="347">
        <f t="shared" ca="1" si="6"/>
        <v>0.01</v>
      </c>
      <c r="B41" s="304">
        <f t="shared" ca="1" si="7"/>
        <v>0.37000000000000016</v>
      </c>
      <c r="D41" s="306">
        <f t="shared" ca="1" si="8"/>
        <v>22.643464451376396</v>
      </c>
      <c r="E41" s="307">
        <f t="shared" ca="1" si="9"/>
        <v>115.28301905962888</v>
      </c>
      <c r="F41" s="304">
        <f t="shared" ca="1" si="10"/>
        <v>117.4857479265613</v>
      </c>
      <c r="G41" s="306">
        <f t="shared" ca="1" si="11"/>
        <v>25.456282725046105</v>
      </c>
      <c r="H41" s="307">
        <f t="shared" ca="1" si="12"/>
        <v>140.53423419733747</v>
      </c>
      <c r="I41" s="304">
        <f t="shared" ca="1" si="13"/>
        <v>142.82119349595698</v>
      </c>
      <c r="J41" s="306">
        <f t="shared" ca="1" si="14"/>
        <v>7.8272106719466246</v>
      </c>
      <c r="K41" s="307">
        <f t="shared" ca="1" si="15"/>
        <v>43.788421024607679</v>
      </c>
      <c r="L41" s="304">
        <f t="shared" ca="1" si="0"/>
        <v>44.482480177383756</v>
      </c>
      <c r="M41" s="306">
        <f t="shared" ca="1" si="16"/>
        <v>1.3915999947152704</v>
      </c>
      <c r="N41" s="304">
        <f t="shared" ca="1" si="17"/>
        <v>79.732806467612662</v>
      </c>
      <c r="P41" s="310">
        <f t="shared" ca="1" si="18"/>
        <v>2</v>
      </c>
      <c r="Q41" s="304">
        <f t="shared" ca="1" si="19"/>
        <v>826.5</v>
      </c>
      <c r="R41" s="306">
        <f t="shared" ca="1" si="20"/>
        <v>0.41478184194289652</v>
      </c>
      <c r="S41" s="307">
        <f t="shared" ca="1" si="21"/>
        <v>5.8768109704388527</v>
      </c>
      <c r="T41" s="304">
        <f t="shared" ca="1" si="1"/>
        <v>57.651515620005149</v>
      </c>
      <c r="U41" s="311">
        <f t="shared" ca="1" si="2"/>
        <v>0</v>
      </c>
      <c r="V41" s="306">
        <f t="shared" ca="1" si="3"/>
        <v>1.2196476370007099</v>
      </c>
      <c r="W41" s="304">
        <f t="shared" ca="1" si="4"/>
        <v>80.716461283044936</v>
      </c>
      <c r="Y41" s="314" t="str">
        <f t="shared" ca="1" si="22"/>
        <v/>
      </c>
      <c r="Z41" s="315" t="str">
        <f t="shared" ca="1" si="23"/>
        <v/>
      </c>
      <c r="AA41" s="316" t="str">
        <f t="shared" ca="1" si="24"/>
        <v/>
      </c>
      <c r="AC41" s="310" t="e">
        <f t="shared" ca="1" si="25"/>
        <v>#N/A</v>
      </c>
      <c r="AD41" s="323" t="e">
        <f t="shared" ca="1" si="26"/>
        <v>#N/A</v>
      </c>
      <c r="AE41" s="324">
        <f t="shared" ca="1" si="5"/>
        <v>43.788421024607679</v>
      </c>
      <c r="AG41" s="306">
        <f t="shared" ca="1" si="27"/>
        <v>117.47275327490129</v>
      </c>
      <c r="AH41" s="304">
        <f t="shared" ca="1" si="28"/>
        <v>127.12588210043391</v>
      </c>
    </row>
    <row r="42" spans="1:34" x14ac:dyDescent="0.2">
      <c r="A42" s="347">
        <f t="shared" ca="1" si="6"/>
        <v>0.01</v>
      </c>
      <c r="B42" s="304">
        <f t="shared" ca="1" si="7"/>
        <v>0.38000000000000017</v>
      </c>
      <c r="D42" s="306">
        <f t="shared" ca="1" si="8"/>
        <v>22.570861359577187</v>
      </c>
      <c r="E42" s="307">
        <f t="shared" ca="1" si="9"/>
        <v>114.79494529397994</v>
      </c>
      <c r="F42" s="304">
        <f t="shared" ca="1" si="10"/>
        <v>116.99283417184618</v>
      </c>
      <c r="G42" s="306">
        <f t="shared" ca="1" si="11"/>
        <v>25.681991338641875</v>
      </c>
      <c r="H42" s="307">
        <f t="shared" ca="1" si="12"/>
        <v>141.68218365027727</v>
      </c>
      <c r="I42" s="304">
        <f t="shared" ca="1" si="13"/>
        <v>143.99099222878135</v>
      </c>
      <c r="J42" s="306">
        <f t="shared" ca="1" si="14"/>
        <v>8.082902042265065</v>
      </c>
      <c r="K42" s="307">
        <f t="shared" ca="1" si="15"/>
        <v>45.199503113845751</v>
      </c>
      <c r="L42" s="304">
        <f t="shared" ca="1" si="0"/>
        <v>45.916537186109807</v>
      </c>
      <c r="M42" s="306">
        <f t="shared" ca="1" si="16"/>
        <v>1.3914785619145138</v>
      </c>
      <c r="N42" s="304">
        <f t="shared" ca="1" si="17"/>
        <v>79.725848880634857</v>
      </c>
      <c r="P42" s="310">
        <f t="shared" ca="1" si="18"/>
        <v>2</v>
      </c>
      <c r="Q42" s="304">
        <f t="shared" ca="1" si="19"/>
        <v>824.38888888888891</v>
      </c>
      <c r="R42" s="306">
        <f t="shared" ca="1" si="20"/>
        <v>0.41372237363652897</v>
      </c>
      <c r="S42" s="307">
        <f t="shared" ca="1" si="21"/>
        <v>5.8726737467024872</v>
      </c>
      <c r="T42" s="304">
        <f t="shared" ca="1" si="1"/>
        <v>57.6109294551514</v>
      </c>
      <c r="U42" s="311">
        <f t="shared" ca="1" si="2"/>
        <v>0</v>
      </c>
      <c r="V42" s="306">
        <f t="shared" ca="1" si="3"/>
        <v>1.2194755459973488</v>
      </c>
      <c r="W42" s="304">
        <f t="shared" ca="1" si="4"/>
        <v>82.032540885738143</v>
      </c>
      <c r="Y42" s="314" t="str">
        <f t="shared" ca="1" si="22"/>
        <v/>
      </c>
      <c r="Z42" s="315" t="str">
        <f t="shared" ca="1" si="23"/>
        <v/>
      </c>
      <c r="AA42" s="316" t="str">
        <f t="shared" ca="1" si="24"/>
        <v/>
      </c>
      <c r="AC42" s="310" t="e">
        <f t="shared" ca="1" si="25"/>
        <v>#N/A</v>
      </c>
      <c r="AD42" s="323" t="e">
        <f t="shared" ca="1" si="26"/>
        <v>#N/A</v>
      </c>
      <c r="AE42" s="324">
        <f t="shared" ca="1" si="5"/>
        <v>45.199503113845751</v>
      </c>
      <c r="AG42" s="306">
        <f t="shared" ca="1" si="27"/>
        <v>116.97976711842063</v>
      </c>
      <c r="AH42" s="304">
        <f t="shared" ca="1" si="28"/>
        <v>126.63268209364037</v>
      </c>
    </row>
    <row r="43" spans="1:34" x14ac:dyDescent="0.2">
      <c r="A43" s="347">
        <f t="shared" ca="1" si="6"/>
        <v>0.01</v>
      </c>
      <c r="B43" s="304">
        <f t="shared" ca="1" si="7"/>
        <v>0.39000000000000018</v>
      </c>
      <c r="D43" s="306">
        <f t="shared" ca="1" si="8"/>
        <v>22.497714259214053</v>
      </c>
      <c r="E43" s="307">
        <f t="shared" ca="1" si="9"/>
        <v>114.30519190061339</v>
      </c>
      <c r="F43" s="304">
        <f t="shared" ca="1" si="10"/>
        <v>116.49817184112932</v>
      </c>
      <c r="G43" s="306">
        <f t="shared" ca="1" si="11"/>
        <v>25.906968481234017</v>
      </c>
      <c r="H43" s="307">
        <f t="shared" ca="1" si="12"/>
        <v>142.82523556928339</v>
      </c>
      <c r="I43" s="304">
        <f t="shared" ca="1" si="13"/>
        <v>145.15584360028001</v>
      </c>
      <c r="J43" s="306">
        <f t="shared" ca="1" si="14"/>
        <v>8.3408468413644439</v>
      </c>
      <c r="K43" s="307">
        <f t="shared" ca="1" si="15"/>
        <v>46.622040209943556</v>
      </c>
      <c r="L43" s="304">
        <f t="shared" ca="1" si="0"/>
        <v>47.362267253254387</v>
      </c>
      <c r="M43" s="306">
        <f t="shared" ca="1" si="16"/>
        <v>1.3913580228393272</v>
      </c>
      <c r="N43" s="304">
        <f t="shared" ca="1" si="17"/>
        <v>79.718942500360257</v>
      </c>
      <c r="P43" s="310">
        <f t="shared" ca="1" si="18"/>
        <v>2</v>
      </c>
      <c r="Q43" s="304">
        <f t="shared" ca="1" si="19"/>
        <v>822.27777777777771</v>
      </c>
      <c r="R43" s="306">
        <f t="shared" ca="1" si="20"/>
        <v>0.41266290533016137</v>
      </c>
      <c r="S43" s="307">
        <f t="shared" ca="1" si="21"/>
        <v>5.8685471176491859</v>
      </c>
      <c r="T43" s="304">
        <f t="shared" ca="1" si="1"/>
        <v>57.570447224138519</v>
      </c>
      <c r="U43" s="311">
        <f t="shared" ca="1" si="2"/>
        <v>0</v>
      </c>
      <c r="V43" s="306">
        <f t="shared" ca="1" si="3"/>
        <v>1.2193020825012193</v>
      </c>
      <c r="W43" s="304">
        <f t="shared" ca="1" si="4"/>
        <v>83.353296979609652</v>
      </c>
      <c r="Y43" s="314" t="str">
        <f t="shared" ca="1" si="22"/>
        <v/>
      </c>
      <c r="Z43" s="315" t="str">
        <f t="shared" ca="1" si="23"/>
        <v/>
      </c>
      <c r="AA43" s="316" t="str">
        <f t="shared" ca="1" si="24"/>
        <v/>
      </c>
      <c r="AC43" s="310" t="e">
        <f t="shared" ca="1" si="25"/>
        <v>#N/A</v>
      </c>
      <c r="AD43" s="323" t="e">
        <f t="shared" ca="1" si="26"/>
        <v>#N/A</v>
      </c>
      <c r="AE43" s="324">
        <f t="shared" ca="1" si="5"/>
        <v>46.622040209943556</v>
      </c>
      <c r="AG43" s="306">
        <f t="shared" ca="1" si="27"/>
        <v>116.4850316965499</v>
      </c>
      <c r="AH43" s="304">
        <f t="shared" ca="1" si="28"/>
        <v>126.13773427256147</v>
      </c>
    </row>
    <row r="44" spans="1:34" x14ac:dyDescent="0.2">
      <c r="A44" s="347">
        <f t="shared" ca="1" si="6"/>
        <v>0.01</v>
      </c>
      <c r="B44" s="304">
        <f t="shared" ca="1" si="7"/>
        <v>0.40000000000000019</v>
      </c>
      <c r="D44" s="306">
        <f t="shared" ca="1" si="8"/>
        <v>22.424030906264083</v>
      </c>
      <c r="E44" s="307">
        <f t="shared" ca="1" si="9"/>
        <v>113.81378480986621</v>
      </c>
      <c r="F44" s="304">
        <f t="shared" ca="1" si="10"/>
        <v>116.0017878087731</v>
      </c>
      <c r="G44" s="306">
        <f t="shared" ca="1" si="11"/>
        <v>26.131208790296657</v>
      </c>
      <c r="H44" s="307">
        <f t="shared" ca="1" si="12"/>
        <v>143.96337341738206</v>
      </c>
      <c r="I44" s="304">
        <f t="shared" ca="1" si="13"/>
        <v>146.31573038656734</v>
      </c>
      <c r="J44" s="306">
        <f t="shared" ca="1" si="14"/>
        <v>8.6010377277220975</v>
      </c>
      <c r="K44" s="307">
        <f t="shared" ca="1" si="15"/>
        <v>48.055983254876885</v>
      </c>
      <c r="L44" s="304">
        <f t="shared" ca="1" si="0"/>
        <v>48.819620815679286</v>
      </c>
      <c r="M44" s="306">
        <f t="shared" ca="1" si="16"/>
        <v>1.3912383597911371</v>
      </c>
      <c r="N44" s="304">
        <f t="shared" ca="1" si="17"/>
        <v>79.712086312735281</v>
      </c>
      <c r="P44" s="310">
        <f t="shared" ca="1" si="18"/>
        <v>2</v>
      </c>
      <c r="Q44" s="304">
        <f t="shared" ca="1" si="19"/>
        <v>820.16666666666663</v>
      </c>
      <c r="R44" s="306">
        <f t="shared" ca="1" si="20"/>
        <v>0.41160343702379387</v>
      </c>
      <c r="S44" s="307">
        <f t="shared" ca="1" si="21"/>
        <v>5.8644310832789479</v>
      </c>
      <c r="T44" s="304">
        <f t="shared" ca="1" si="1"/>
        <v>57.530068926966479</v>
      </c>
      <c r="U44" s="311">
        <f t="shared" ca="1" si="2"/>
        <v>0</v>
      </c>
      <c r="V44" s="306">
        <f t="shared" ca="1" si="3"/>
        <v>1.2191272530826538</v>
      </c>
      <c r="W44" s="304">
        <f t="shared" ca="1" si="4"/>
        <v>84.678566620698717</v>
      </c>
      <c r="Y44" s="314" t="str">
        <f t="shared" ca="1" si="22"/>
        <v/>
      </c>
      <c r="Z44" s="315" t="str">
        <f t="shared" ca="1" si="23"/>
        <v/>
      </c>
      <c r="AA44" s="316" t="str">
        <f t="shared" ca="1" si="24"/>
        <v/>
      </c>
      <c r="AC44" s="310" t="e">
        <f t="shared" ca="1" si="25"/>
        <v>#N/A</v>
      </c>
      <c r="AD44" s="323" t="e">
        <f t="shared" ca="1" si="26"/>
        <v>#N/A</v>
      </c>
      <c r="AE44" s="324">
        <f t="shared" ca="1" si="5"/>
        <v>48.055983254876885</v>
      </c>
      <c r="AG44" s="306">
        <f t="shared" ca="1" si="27"/>
        <v>115.9885738721937</v>
      </c>
      <c r="AH44" s="304">
        <f t="shared" ca="1" si="28"/>
        <v>125.64106547145003</v>
      </c>
    </row>
    <row r="45" spans="1:34" x14ac:dyDescent="0.2">
      <c r="A45" s="347">
        <f t="shared" ca="1" si="6"/>
        <v>0.01</v>
      </c>
      <c r="B45" s="304">
        <f t="shared" ca="1" si="7"/>
        <v>0.4100000000000002</v>
      </c>
      <c r="D45" s="306">
        <f t="shared" ca="1" si="8"/>
        <v>22.349818988023795</v>
      </c>
      <c r="E45" s="307">
        <f t="shared" ca="1" si="9"/>
        <v>113.32075000106943</v>
      </c>
      <c r="F45" s="304">
        <f t="shared" ca="1" si="10"/>
        <v>115.50370898634515</v>
      </c>
      <c r="G45" s="306">
        <f t="shared" ca="1" si="11"/>
        <v>26.354706980176896</v>
      </c>
      <c r="H45" s="307">
        <f t="shared" ca="1" si="12"/>
        <v>145.09658091739274</v>
      </c>
      <c r="I45" s="304">
        <f t="shared" ca="1" si="13"/>
        <v>147.47063563275398</v>
      </c>
      <c r="J45" s="306">
        <f t="shared" ca="1" si="14"/>
        <v>8.8634673065744654</v>
      </c>
      <c r="K45" s="307">
        <f t="shared" ca="1" si="15"/>
        <v>49.501283026550759</v>
      </c>
      <c r="L45" s="304">
        <f t="shared" ca="1" si="0"/>
        <v>50.288548139406416</v>
      </c>
      <c r="M45" s="306">
        <f t="shared" ca="1" si="16"/>
        <v>1.3911195555521727</v>
      </c>
      <c r="N45" s="304">
        <f t="shared" ca="1" si="17"/>
        <v>79.70527933125436</v>
      </c>
      <c r="P45" s="310">
        <f t="shared" ca="1" si="18"/>
        <v>2</v>
      </c>
      <c r="Q45" s="304">
        <f t="shared" ca="1" si="19"/>
        <v>818.05555555555554</v>
      </c>
      <c r="R45" s="306">
        <f t="shared" ca="1" si="20"/>
        <v>0.41054396871742632</v>
      </c>
      <c r="S45" s="307">
        <f t="shared" ca="1" si="21"/>
        <v>5.8603256435917732</v>
      </c>
      <c r="T45" s="304">
        <f t="shared" ca="1" si="1"/>
        <v>57.4897945636353</v>
      </c>
      <c r="U45" s="311">
        <f t="shared" ca="1" si="2"/>
        <v>0</v>
      </c>
      <c r="V45" s="306">
        <f t="shared" ca="1" si="3"/>
        <v>1.2189510643330705</v>
      </c>
      <c r="W45" s="304">
        <f t="shared" ca="1" si="4"/>
        <v>86.008187216514301</v>
      </c>
      <c r="Y45" s="314" t="str">
        <f t="shared" ca="1" si="22"/>
        <v/>
      </c>
      <c r="Z45" s="315" t="str">
        <f t="shared" ca="1" si="23"/>
        <v/>
      </c>
      <c r="AA45" s="316" t="str">
        <f t="shared" ca="1" si="24"/>
        <v/>
      </c>
      <c r="AC45" s="310" t="e">
        <f t="shared" ca="1" si="25"/>
        <v>#N/A</v>
      </c>
      <c r="AD45" s="323" t="e">
        <f t="shared" ca="1" si="26"/>
        <v>#N/A</v>
      </c>
      <c r="AE45" s="324">
        <f t="shared" ca="1" si="5"/>
        <v>49.501283026550759</v>
      </c>
      <c r="AG45" s="306">
        <f t="shared" ca="1" si="27"/>
        <v>115.49042054533932</v>
      </c>
      <c r="AH45" s="304">
        <f t="shared" ca="1" si="28"/>
        <v>125.14270256240789</v>
      </c>
    </row>
    <row r="46" spans="1:34" x14ac:dyDescent="0.2">
      <c r="A46" s="347">
        <f t="shared" ca="1" si="6"/>
        <v>0.01</v>
      </c>
      <c r="B46" s="304">
        <f t="shared" ca="1" si="7"/>
        <v>0.42000000000000021</v>
      </c>
      <c r="D46" s="306">
        <f t="shared" ca="1" si="8"/>
        <v>22.275086125364002</v>
      </c>
      <c r="E46" s="307">
        <f t="shared" ca="1" si="9"/>
        <v>112.82611349812379</v>
      </c>
      <c r="F46" s="304">
        <f t="shared" ca="1" si="10"/>
        <v>115.00396231862577</v>
      </c>
      <c r="G46" s="306">
        <f t="shared" ca="1" si="11"/>
        <v>26.577457841430537</v>
      </c>
      <c r="H46" s="307">
        <f t="shared" ca="1" si="12"/>
        <v>146.22484205237399</v>
      </c>
      <c r="I46" s="304">
        <f t="shared" ca="1" si="13"/>
        <v>148.62054265327771</v>
      </c>
      <c r="J46" s="306">
        <f t="shared" ca="1" si="14"/>
        <v>9.1281281306825033</v>
      </c>
      <c r="K46" s="307">
        <f t="shared" ca="1" si="15"/>
        <v>50.957890141399595</v>
      </c>
      <c r="L46" s="304">
        <f t="shared" ca="1" si="0"/>
        <v>51.768999322307813</v>
      </c>
      <c r="M46" s="306">
        <f t="shared" ca="1" si="16"/>
        <v>1.3910015933679489</v>
      </c>
      <c r="N46" s="304">
        <f t="shared" ca="1" si="17"/>
        <v>79.698520595956197</v>
      </c>
      <c r="P46" s="310">
        <f t="shared" ca="1" si="18"/>
        <v>2</v>
      </c>
      <c r="Q46" s="304">
        <f t="shared" ca="1" si="19"/>
        <v>815.94444444444434</v>
      </c>
      <c r="R46" s="306">
        <f t="shared" ca="1" si="20"/>
        <v>0.40948450041105872</v>
      </c>
      <c r="S46" s="307">
        <f t="shared" ca="1" si="21"/>
        <v>5.8562307985876627</v>
      </c>
      <c r="T46" s="304">
        <f t="shared" ca="1" si="1"/>
        <v>57.449624134144976</v>
      </c>
      <c r="U46" s="311">
        <f t="shared" ca="1" si="2"/>
        <v>0</v>
      </c>
      <c r="V46" s="306">
        <f t="shared" ca="1" si="3"/>
        <v>1.2187735228645706</v>
      </c>
      <c r="W46" s="304">
        <f t="shared" ca="1" si="4"/>
        <v>87.341996547340202</v>
      </c>
      <c r="Y46" s="314" t="str">
        <f t="shared" ca="1" si="22"/>
        <v/>
      </c>
      <c r="Z46" s="315" t="str">
        <f t="shared" ca="1" si="23"/>
        <v/>
      </c>
      <c r="AA46" s="316" t="str">
        <f t="shared" ca="1" si="24"/>
        <v/>
      </c>
      <c r="AC46" s="310" t="e">
        <f t="shared" ca="1" si="25"/>
        <v>#N/A</v>
      </c>
      <c r="AD46" s="323" t="e">
        <f t="shared" ca="1" si="26"/>
        <v>#N/A</v>
      </c>
      <c r="AE46" s="324">
        <f t="shared" ca="1" si="5"/>
        <v>50.957890141399595</v>
      </c>
      <c r="AG46" s="306">
        <f t="shared" ca="1" si="27"/>
        <v>114.99059864905898</v>
      </c>
      <c r="AH46" s="304">
        <f t="shared" ca="1" si="28"/>
        <v>124.64267245136027</v>
      </c>
    </row>
    <row r="47" spans="1:34" x14ac:dyDescent="0.2">
      <c r="A47" s="347">
        <f t="shared" ca="1" si="6"/>
        <v>0.01</v>
      </c>
      <c r="B47" s="304">
        <f t="shared" ca="1" si="7"/>
        <v>0.43000000000000022</v>
      </c>
      <c r="D47" s="306">
        <f t="shared" ca="1" si="8"/>
        <v>22.19983987484898</v>
      </c>
      <c r="E47" s="307">
        <f t="shared" ca="1" si="9"/>
        <v>112.32990136511334</v>
      </c>
      <c r="F47" s="304">
        <f t="shared" ca="1" si="10"/>
        <v>114.50257477963117</v>
      </c>
      <c r="G47" s="306">
        <f t="shared" ca="1" si="11"/>
        <v>26.799456240179026</v>
      </c>
      <c r="H47" s="307">
        <f t="shared" ca="1" si="12"/>
        <v>147.34814106602511</v>
      </c>
      <c r="I47" s="304">
        <f t="shared" ca="1" si="13"/>
        <v>149.7654350321946</v>
      </c>
      <c r="J47" s="306">
        <f t="shared" ca="1" si="14"/>
        <v>9.3950127010905504</v>
      </c>
      <c r="K47" s="307">
        <f t="shared" ca="1" si="15"/>
        <v>52.425755056991591</v>
      </c>
      <c r="L47" s="304">
        <f t="shared" ca="1" si="0"/>
        <v>53.260924296798798</v>
      </c>
      <c r="M47" s="306">
        <f t="shared" ca="1" si="16"/>
        <v>1.3908844569305416</v>
      </c>
      <c r="N47" s="304">
        <f t="shared" ca="1" si="17"/>
        <v>79.691809172465554</v>
      </c>
      <c r="P47" s="310">
        <f t="shared" ca="1" si="18"/>
        <v>2</v>
      </c>
      <c r="Q47" s="304">
        <f t="shared" ca="1" si="19"/>
        <v>813.83333333333326</v>
      </c>
      <c r="R47" s="306">
        <f t="shared" ca="1" si="20"/>
        <v>0.40842503210469117</v>
      </c>
      <c r="S47" s="307">
        <f t="shared" ca="1" si="21"/>
        <v>5.8521465482666155</v>
      </c>
      <c r="T47" s="304">
        <f t="shared" ca="1" si="1"/>
        <v>57.4095576384955</v>
      </c>
      <c r="U47" s="311">
        <f t="shared" ca="1" si="2"/>
        <v>0</v>
      </c>
      <c r="V47" s="306">
        <f t="shared" ca="1" si="3"/>
        <v>1.218594635309534</v>
      </c>
      <c r="W47" s="304">
        <f t="shared" ca="1" si="4"/>
        <v>88.679832787334391</v>
      </c>
      <c r="Y47" s="314" t="str">
        <f t="shared" ca="1" si="22"/>
        <v/>
      </c>
      <c r="Z47" s="315" t="str">
        <f t="shared" ca="1" si="23"/>
        <v/>
      </c>
      <c r="AA47" s="316" t="str">
        <f t="shared" ca="1" si="24"/>
        <v/>
      </c>
      <c r="AC47" s="310" t="e">
        <f t="shared" ca="1" si="25"/>
        <v>#N/A</v>
      </c>
      <c r="AD47" s="323" t="e">
        <f t="shared" ca="1" si="26"/>
        <v>#N/A</v>
      </c>
      <c r="AE47" s="324">
        <f t="shared" ca="1" si="5"/>
        <v>52.425755056991591</v>
      </c>
      <c r="AG47" s="306">
        <f t="shared" ca="1" si="27"/>
        <v>114.48913514552757</v>
      </c>
      <c r="AH47" s="304">
        <f t="shared" ca="1" si="28"/>
        <v>124.14100207404704</v>
      </c>
    </row>
    <row r="48" spans="1:34" x14ac:dyDescent="0.2">
      <c r="A48" s="347">
        <f t="shared" ca="1" si="6"/>
        <v>0.01</v>
      </c>
      <c r="B48" s="304">
        <f t="shared" ca="1" si="7"/>
        <v>0.44000000000000022</v>
      </c>
      <c r="D48" s="306">
        <f t="shared" ca="1" si="8"/>
        <v>22.124087730727261</v>
      </c>
      <c r="E48" s="307">
        <f t="shared" ca="1" si="9"/>
        <v>111.83213970195605</v>
      </c>
      <c r="F48" s="304">
        <f t="shared" ca="1" si="10"/>
        <v>113.99957336865226</v>
      </c>
      <c r="G48" s="306">
        <f t="shared" ca="1" si="11"/>
        <v>27.0206971174863</v>
      </c>
      <c r="H48" s="307">
        <f t="shared" ca="1" si="12"/>
        <v>148.46646246304468</v>
      </c>
      <c r="I48" s="304">
        <f t="shared" ca="1" si="13"/>
        <v>150.90529662343064</v>
      </c>
      <c r="J48" s="306">
        <f t="shared" ca="1" si="14"/>
        <v>9.6641134678788774</v>
      </c>
      <c r="K48" s="307">
        <f t="shared" ca="1" si="15"/>
        <v>53.904828074636939</v>
      </c>
      <c r="L48" s="304">
        <f t="shared" ca="1" si="0"/>
        <v>54.764272832533848</v>
      </c>
      <c r="M48" s="306">
        <f t="shared" ca="1" si="16"/>
        <v>1.3907681303626123</v>
      </c>
      <c r="N48" s="304">
        <f t="shared" ca="1" si="17"/>
        <v>79.685144151077964</v>
      </c>
      <c r="P48" s="310">
        <f t="shared" ca="1" si="18"/>
        <v>2</v>
      </c>
      <c r="Q48" s="304">
        <f t="shared" ca="1" si="19"/>
        <v>811.72222222222217</v>
      </c>
      <c r="R48" s="306">
        <f t="shared" ca="1" si="20"/>
        <v>0.40736556379832362</v>
      </c>
      <c r="S48" s="307">
        <f t="shared" ca="1" si="21"/>
        <v>5.8480728926286325</v>
      </c>
      <c r="T48" s="304">
        <f t="shared" ca="1" si="1"/>
        <v>57.369595076686885</v>
      </c>
      <c r="U48" s="311">
        <f t="shared" ca="1" si="2"/>
        <v>0</v>
      </c>
      <c r="V48" s="306">
        <f t="shared" ca="1" si="3"/>
        <v>1.2184144083202206</v>
      </c>
      <c r="W48" s="304">
        <f t="shared" ca="1" si="4"/>
        <v>90.021534525419355</v>
      </c>
      <c r="Y48" s="314" t="str">
        <f t="shared" ca="1" si="22"/>
        <v/>
      </c>
      <c r="Z48" s="315" t="str">
        <f t="shared" ca="1" si="23"/>
        <v/>
      </c>
      <c r="AA48" s="316" t="str">
        <f t="shared" ca="1" si="24"/>
        <v/>
      </c>
      <c r="AC48" s="310" t="e">
        <f t="shared" ca="1" si="25"/>
        <v>#N/A</v>
      </c>
      <c r="AD48" s="323" t="e">
        <f t="shared" ca="1" si="26"/>
        <v>#N/A</v>
      </c>
      <c r="AE48" s="324">
        <f t="shared" ca="1" si="5"/>
        <v>53.904828074636939</v>
      </c>
      <c r="AG48" s="306">
        <f t="shared" ca="1" si="27"/>
        <v>113.98605702205597</v>
      </c>
      <c r="AH48" s="304">
        <f t="shared" ca="1" si="28"/>
        <v>123.63771839203079</v>
      </c>
    </row>
    <row r="49" spans="1:34" x14ac:dyDescent="0.2">
      <c r="A49" s="347">
        <f t="shared" ca="1" si="6"/>
        <v>0.01</v>
      </c>
      <c r="B49" s="304">
        <f t="shared" ca="1" si="7"/>
        <v>0.45000000000000023</v>
      </c>
      <c r="D49" s="306">
        <f t="shared" ca="1" si="8"/>
        <v>22.047837126801522</v>
      </c>
      <c r="E49" s="307">
        <f t="shared" ca="1" si="9"/>
        <v>111.33285464009226</v>
      </c>
      <c r="F49" s="304">
        <f t="shared" ca="1" si="10"/>
        <v>113.49498510631156</v>
      </c>
      <c r="G49" s="306">
        <f t="shared" ca="1" si="11"/>
        <v>27.241175488754315</v>
      </c>
      <c r="H49" s="307">
        <f t="shared" ca="1" si="12"/>
        <v>149.57979100944561</v>
      </c>
      <c r="I49" s="304">
        <f t="shared" ca="1" si="13"/>
        <v>152.04011155099346</v>
      </c>
      <c r="J49" s="306">
        <f t="shared" ca="1" si="14"/>
        <v>9.9354228309100812</v>
      </c>
      <c r="K49" s="307">
        <f t="shared" ca="1" si="15"/>
        <v>55.395059341999392</v>
      </c>
      <c r="L49" s="304">
        <f t="shared" ca="1" si="0"/>
        <v>56.278994539104936</v>
      </c>
      <c r="M49" s="306">
        <f t="shared" ca="1" si="16"/>
        <v>1.3906525982021414</v>
      </c>
      <c r="N49" s="304">
        <f t="shared" ca="1" si="17"/>
        <v>79.678524645884949</v>
      </c>
      <c r="P49" s="310">
        <f t="shared" ca="1" si="18"/>
        <v>2</v>
      </c>
      <c r="Q49" s="304">
        <f t="shared" ca="1" si="19"/>
        <v>809.61111111111109</v>
      </c>
      <c r="R49" s="306">
        <f t="shared" ca="1" si="20"/>
        <v>0.40630609549195612</v>
      </c>
      <c r="S49" s="307">
        <f t="shared" ca="1" si="21"/>
        <v>5.8440098316737128</v>
      </c>
      <c r="T49" s="304">
        <f t="shared" ca="1" si="1"/>
        <v>57.329736448719125</v>
      </c>
      <c r="U49" s="311">
        <f t="shared" ca="1" si="2"/>
        <v>0</v>
      </c>
      <c r="V49" s="306">
        <f t="shared" ca="1" si="3"/>
        <v>1.218232848568362</v>
      </c>
      <c r="W49" s="304">
        <f t="shared" ca="1" si="4"/>
        <v>91.366940785957169</v>
      </c>
      <c r="Y49" s="314" t="str">
        <f t="shared" ca="1" si="22"/>
        <v/>
      </c>
      <c r="Z49" s="315" t="str">
        <f t="shared" ca="1" si="23"/>
        <v/>
      </c>
      <c r="AA49" s="316" t="str">
        <f t="shared" ca="1" si="24"/>
        <v/>
      </c>
      <c r="AC49" s="310" t="e">
        <f t="shared" ca="1" si="25"/>
        <v>#N/A</v>
      </c>
      <c r="AD49" s="323" t="e">
        <f t="shared" ca="1" si="26"/>
        <v>#N/A</v>
      </c>
      <c r="AE49" s="324">
        <f t="shared" ca="1" si="5"/>
        <v>55.395059341999392</v>
      </c>
      <c r="AG49" s="306">
        <f t="shared" ca="1" si="27"/>
        <v>113.48139128714253</v>
      </c>
      <c r="AH49" s="304">
        <f t="shared" ca="1" si="28"/>
        <v>123.132848388724</v>
      </c>
    </row>
    <row r="50" spans="1:34" x14ac:dyDescent="0.2">
      <c r="A50" s="347">
        <f t="shared" ca="1" si="6"/>
        <v>0.01</v>
      </c>
      <c r="B50" s="304">
        <f t="shared" ca="1" si="7"/>
        <v>0.46000000000000024</v>
      </c>
      <c r="D50" s="306">
        <f t="shared" ca="1" si="8"/>
        <v>21.971095438184197</v>
      </c>
      <c r="E50" s="307">
        <f t="shared" ca="1" si="9"/>
        <v>110.83207233821011</v>
      </c>
      <c r="F50" s="304">
        <f t="shared" ca="1" si="10"/>
        <v>112.98883703063784</v>
      </c>
      <c r="G50" s="306">
        <f t="shared" ca="1" si="11"/>
        <v>27.460886443136157</v>
      </c>
      <c r="H50" s="307">
        <f t="shared" ca="1" si="12"/>
        <v>150.68811173282771</v>
      </c>
      <c r="I50" s="304">
        <f t="shared" ca="1" si="13"/>
        <v>153.16986420914523</v>
      </c>
      <c r="J50" s="306">
        <f t="shared" ca="1" si="14"/>
        <v>10.208933140569533</v>
      </c>
      <c r="K50" s="307">
        <f t="shared" ca="1" si="15"/>
        <v>56.896398855710757</v>
      </c>
      <c r="L50" s="304">
        <f t="shared" ca="1" si="0"/>
        <v>57.80503886874174</v>
      </c>
      <c r="M50" s="306">
        <f t="shared" ca="1" si="16"/>
        <v>1.3905378453878356</v>
      </c>
      <c r="N50" s="304">
        <f t="shared" ca="1" si="17"/>
        <v>79.671949793937983</v>
      </c>
      <c r="P50" s="310">
        <f t="shared" ca="1" si="18"/>
        <v>2</v>
      </c>
      <c r="Q50" s="304">
        <f t="shared" ca="1" si="19"/>
        <v>807.5</v>
      </c>
      <c r="R50" s="306">
        <f t="shared" ca="1" si="20"/>
        <v>0.40524662718558857</v>
      </c>
      <c r="S50" s="307">
        <f t="shared" ca="1" si="21"/>
        <v>5.8399573654018573</v>
      </c>
      <c r="T50" s="304">
        <f t="shared" ca="1" si="1"/>
        <v>57.289981754592226</v>
      </c>
      <c r="U50" s="311">
        <f t="shared" ca="1" si="2"/>
        <v>0</v>
      </c>
      <c r="V50" s="306">
        <f t="shared" ca="1" si="3"/>
        <v>1.2180499627447623</v>
      </c>
      <c r="W50" s="304">
        <f t="shared" ca="1" si="4"/>
        <v>92.715891049207983</v>
      </c>
      <c r="Y50" s="314" t="str">
        <f t="shared" ca="1" si="22"/>
        <v/>
      </c>
      <c r="Z50" s="315" t="str">
        <f t="shared" ca="1" si="23"/>
        <v/>
      </c>
      <c r="AA50" s="316" t="str">
        <f t="shared" ca="1" si="24"/>
        <v/>
      </c>
      <c r="AC50" s="310" t="e">
        <f t="shared" ca="1" si="25"/>
        <v>#N/A</v>
      </c>
      <c r="AD50" s="323" t="e">
        <f t="shared" ca="1" si="26"/>
        <v>#N/A</v>
      </c>
      <c r="AE50" s="324">
        <f t="shared" ca="1" si="5"/>
        <v>56.896398855710757</v>
      </c>
      <c r="AG50" s="306">
        <f t="shared" ca="1" si="27"/>
        <v>112.97516496654225</v>
      </c>
      <c r="AH50" s="304">
        <f t="shared" ca="1" si="28"/>
        <v>122.62641906543517</v>
      </c>
    </row>
    <row r="51" spans="1:34" x14ac:dyDescent="0.2">
      <c r="A51" s="347">
        <f t="shared" ca="1" si="6"/>
        <v>0.01</v>
      </c>
      <c r="B51" s="304">
        <f t="shared" ca="1" si="7"/>
        <v>0.47000000000000025</v>
      </c>
      <c r="D51" s="306">
        <f t="shared" ca="1" si="8"/>
        <v>21.89386998294502</v>
      </c>
      <c r="E51" s="307">
        <f t="shared" ca="1" si="9"/>
        <v>110.32981897800843</v>
      </c>
      <c r="F51" s="304">
        <f t="shared" ca="1" si="10"/>
        <v>112.48115619316069</v>
      </c>
      <c r="G51" s="306">
        <f t="shared" ca="1" si="11"/>
        <v>27.679825142965608</v>
      </c>
      <c r="H51" s="307">
        <f t="shared" ca="1" si="12"/>
        <v>151.79140992260778</v>
      </c>
      <c r="I51" s="304">
        <f t="shared" ca="1" si="13"/>
        <v>154.29453926253615</v>
      </c>
      <c r="J51" s="306">
        <f t="shared" ca="1" si="14"/>
        <v>10.484636698500042</v>
      </c>
      <c r="K51" s="307">
        <f t="shared" ca="1" si="15"/>
        <v>58.408796463987933</v>
      </c>
      <c r="L51" s="304">
        <f t="shared" ca="1" si="0"/>
        <v>59.342355119013462</v>
      </c>
      <c r="M51" s="306">
        <f t="shared" ca="1" si="16"/>
        <v>1.3904238572451679</v>
      </c>
      <c r="N51" s="304">
        <f t="shared" ca="1" si="17"/>
        <v>79.665418754448595</v>
      </c>
      <c r="P51" s="310">
        <f t="shared" ca="1" si="18"/>
        <v>2</v>
      </c>
      <c r="Q51" s="304">
        <f t="shared" ca="1" si="19"/>
        <v>805.3888888888888</v>
      </c>
      <c r="R51" s="306">
        <f t="shared" ca="1" si="20"/>
        <v>0.40418715887922096</v>
      </c>
      <c r="S51" s="307">
        <f t="shared" ca="1" si="21"/>
        <v>5.8359154938130651</v>
      </c>
      <c r="T51" s="304">
        <f t="shared" ca="1" si="1"/>
        <v>57.250330994306168</v>
      </c>
      <c r="U51" s="311">
        <f t="shared" ca="1" si="2"/>
        <v>0</v>
      </c>
      <c r="V51" s="306">
        <f t="shared" ca="1" si="3"/>
        <v>1.2178657575588949</v>
      </c>
      <c r="W51" s="304">
        <f t="shared" ca="1" si="4"/>
        <v>94.068225271566263</v>
      </c>
      <c r="Y51" s="314" t="str">
        <f t="shared" ca="1" si="22"/>
        <v/>
      </c>
      <c r="Z51" s="315" t="str">
        <f t="shared" ca="1" si="23"/>
        <v/>
      </c>
      <c r="AA51" s="316" t="str">
        <f t="shared" ca="1" si="24"/>
        <v/>
      </c>
      <c r="AC51" s="310" t="e">
        <f t="shared" ca="1" si="25"/>
        <v>#N/A</v>
      </c>
      <c r="AD51" s="323" t="e">
        <f t="shared" ca="1" si="26"/>
        <v>#N/A</v>
      </c>
      <c r="AE51" s="324">
        <f t="shared" ca="1" si="5"/>
        <v>58.408796463987933</v>
      </c>
      <c r="AG51" s="306">
        <f t="shared" ca="1" si="27"/>
        <v>112.46740509935563</v>
      </c>
      <c r="AH51" s="304">
        <f t="shared" ca="1" si="28"/>
        <v>122.11845743743545</v>
      </c>
    </row>
    <row r="52" spans="1:34" x14ac:dyDescent="0.2">
      <c r="A52" s="347">
        <f t="shared" ca="1" si="6"/>
        <v>0.01</v>
      </c>
      <c r="B52" s="304">
        <f t="shared" ca="1" si="7"/>
        <v>0.48000000000000026</v>
      </c>
      <c r="D52" s="306">
        <f t="shared" ca="1" si="8"/>
        <v>21.816168023657092</v>
      </c>
      <c r="E52" s="307">
        <f t="shared" ca="1" si="9"/>
        <v>109.82612075999657</v>
      </c>
      <c r="F52" s="304">
        <f t="shared" ca="1" si="10"/>
        <v>111.97196965502478</v>
      </c>
      <c r="G52" s="306">
        <f t="shared" ca="1" si="11"/>
        <v>27.897986823202178</v>
      </c>
      <c r="H52" s="307">
        <f t="shared" ca="1" si="12"/>
        <v>152.88967113020774</v>
      </c>
      <c r="I52" s="304">
        <f t="shared" ca="1" si="13"/>
        <v>155.41412164629907</v>
      </c>
      <c r="J52" s="306">
        <f t="shared" ca="1" si="14"/>
        <v>10.762525758330881</v>
      </c>
      <c r="K52" s="307">
        <f t="shared" ca="1" si="15"/>
        <v>59.932201869252012</v>
      </c>
      <c r="L52" s="304">
        <f t="shared" ca="1" si="0"/>
        <v>60.890892435531853</v>
      </c>
      <c r="M52" s="306">
        <f t="shared" ca="1" si="16"/>
        <v>1.3903106194730244</v>
      </c>
      <c r="N52" s="304">
        <f t="shared" ca="1" si="17"/>
        <v>79.658930708023306</v>
      </c>
      <c r="P52" s="310">
        <f t="shared" ca="1" si="18"/>
        <v>2</v>
      </c>
      <c r="Q52" s="304">
        <f t="shared" ca="1" si="19"/>
        <v>803.27777777777771</v>
      </c>
      <c r="R52" s="306">
        <f t="shared" ca="1" si="20"/>
        <v>0.40312769057285341</v>
      </c>
      <c r="S52" s="307">
        <f t="shared" ca="1" si="21"/>
        <v>5.8318842169073362</v>
      </c>
      <c r="T52" s="304">
        <f t="shared" ca="1" si="1"/>
        <v>57.210784167860972</v>
      </c>
      <c r="U52" s="311">
        <f t="shared" ca="1" si="2"/>
        <v>0</v>
      </c>
      <c r="V52" s="306">
        <f t="shared" ca="1" si="3"/>
        <v>1.217680239738498</v>
      </c>
      <c r="W52" s="304">
        <f t="shared" ca="1" si="4"/>
        <v>95.423783905571156</v>
      </c>
      <c r="Y52" s="314" t="str">
        <f t="shared" ca="1" si="22"/>
        <v/>
      </c>
      <c r="Z52" s="315" t="str">
        <f t="shared" ca="1" si="23"/>
        <v/>
      </c>
      <c r="AA52" s="316" t="str">
        <f t="shared" ca="1" si="24"/>
        <v/>
      </c>
      <c r="AC52" s="310" t="e">
        <f t="shared" ca="1" si="25"/>
        <v>#N/A</v>
      </c>
      <c r="AD52" s="323" t="e">
        <f t="shared" ca="1" si="26"/>
        <v>#N/A</v>
      </c>
      <c r="AE52" s="324">
        <f t="shared" ca="1" si="5"/>
        <v>59.932201869252012</v>
      </c>
      <c r="AG52" s="306">
        <f t="shared" ca="1" si="27"/>
        <v>111.95813873413753</v>
      </c>
      <c r="AH52" s="304">
        <f t="shared" ca="1" si="28"/>
        <v>121.60899053004643</v>
      </c>
    </row>
    <row r="53" spans="1:34" x14ac:dyDescent="0.2">
      <c r="A53" s="347">
        <f t="shared" ca="1" si="6"/>
        <v>0.01</v>
      </c>
      <c r="B53" s="304">
        <f t="shared" ca="1" si="7"/>
        <v>0.49000000000000027</v>
      </c>
      <c r="D53" s="306">
        <f t="shared" ca="1" si="8"/>
        <v>21.737996768846187</v>
      </c>
      <c r="E53" s="307">
        <f t="shared" ca="1" si="9"/>
        <v>109.32100389933197</v>
      </c>
      <c r="F53" s="304">
        <f t="shared" ca="1" si="10"/>
        <v>111.46130448312599</v>
      </c>
      <c r="G53" s="306">
        <f t="shared" ca="1" si="11"/>
        <v>28.11536679089064</v>
      </c>
      <c r="H53" s="307">
        <f t="shared" ca="1" si="12"/>
        <v>153.98288116920105</v>
      </c>
      <c r="I53" s="304">
        <f t="shared" ca="1" si="13"/>
        <v>156.52859656610548</v>
      </c>
      <c r="J53" s="306">
        <f t="shared" ca="1" si="14"/>
        <v>11.042592526401345</v>
      </c>
      <c r="K53" s="307">
        <f t="shared" ca="1" si="15"/>
        <v>61.466564630749055</v>
      </c>
      <c r="L53" s="304">
        <f t="shared" ca="1" si="0"/>
        <v>62.450599814654986</v>
      </c>
      <c r="M53" s="306">
        <f t="shared" ca="1" si="16"/>
        <v>1.390198118130922</v>
      </c>
      <c r="N53" s="304">
        <f t="shared" ca="1" si="17"/>
        <v>79.652484855931277</v>
      </c>
      <c r="P53" s="310">
        <f t="shared" ca="1" si="18"/>
        <v>2</v>
      </c>
      <c r="Q53" s="304">
        <f t="shared" ca="1" si="19"/>
        <v>801.16666666666663</v>
      </c>
      <c r="R53" s="306">
        <f t="shared" ca="1" si="20"/>
        <v>0.40206822226648586</v>
      </c>
      <c r="S53" s="307">
        <f t="shared" ca="1" si="21"/>
        <v>5.8278635346846714</v>
      </c>
      <c r="T53" s="304">
        <f t="shared" ca="1" si="1"/>
        <v>57.17134127525663</v>
      </c>
      <c r="U53" s="311">
        <f t="shared" ca="1" si="2"/>
        <v>0</v>
      </c>
      <c r="V53" s="306">
        <f t="shared" ca="1" si="3"/>
        <v>1.2174934160291733</v>
      </c>
      <c r="W53" s="304">
        <f t="shared" ca="1" si="4"/>
        <v>96.782407919688495</v>
      </c>
      <c r="Y53" s="314" t="str">
        <f t="shared" ca="1" si="22"/>
        <v/>
      </c>
      <c r="Z53" s="315" t="str">
        <f t="shared" ca="1" si="23"/>
        <v/>
      </c>
      <c r="AA53" s="316" t="str">
        <f t="shared" ca="1" si="24"/>
        <v/>
      </c>
      <c r="AC53" s="310" t="e">
        <f t="shared" ca="1" si="25"/>
        <v>#N/A</v>
      </c>
      <c r="AD53" s="323" t="e">
        <f t="shared" ca="1" si="26"/>
        <v>#N/A</v>
      </c>
      <c r="AE53" s="324">
        <f t="shared" ca="1" si="5"/>
        <v>61.466564630749055</v>
      </c>
      <c r="AG53" s="306">
        <f t="shared" ca="1" si="27"/>
        <v>111.44739292502746</v>
      </c>
      <c r="AH53" s="304">
        <f t="shared" ca="1" si="28"/>
        <v>121.09804537475003</v>
      </c>
    </row>
    <row r="54" spans="1:34" x14ac:dyDescent="0.2">
      <c r="A54" s="347">
        <f t="shared" ca="1" si="6"/>
        <v>0.01</v>
      </c>
      <c r="B54" s="304">
        <f t="shared" ca="1" si="7"/>
        <v>0.50000000000000022</v>
      </c>
      <c r="D54" s="306">
        <f t="shared" ca="1" si="8"/>
        <v>21.659363374349354</v>
      </c>
      <c r="E54" s="307">
        <f t="shared" ca="1" si="9"/>
        <v>108.81449462169476</v>
      </c>
      <c r="F54" s="304">
        <f t="shared" ca="1" si="10"/>
        <v>110.94918774626944</v>
      </c>
      <c r="G54" s="306">
        <f t="shared" ca="1" si="11"/>
        <v>28.331960424634133</v>
      </c>
      <c r="H54" s="307">
        <f t="shared" ca="1" si="12"/>
        <v>155.07102611541799</v>
      </c>
      <c r="I54" s="304">
        <f t="shared" ca="1" si="13"/>
        <v>157.63794949818299</v>
      </c>
      <c r="J54" s="306">
        <f t="shared" ca="1" si="14"/>
        <v>11.324829162478968</v>
      </c>
      <c r="K54" s="307">
        <f t="shared" ca="1" si="15"/>
        <v>63.011834167172154</v>
      </c>
      <c r="L54" s="304">
        <f t="shared" ca="1" si="0"/>
        <v>64.021426106191498</v>
      </c>
      <c r="M54" s="306">
        <f t="shared" ca="1" si="16"/>
        <v>1.3900863396267686</v>
      </c>
      <c r="N54" s="304">
        <f t="shared" ca="1" si="17"/>
        <v>79.646080419403006</v>
      </c>
      <c r="P54" s="310">
        <f t="shared" ca="1" si="18"/>
        <v>2</v>
      </c>
      <c r="Q54" s="304">
        <f t="shared" ca="1" si="19"/>
        <v>799.05555555555554</v>
      </c>
      <c r="R54" s="306">
        <f t="shared" ca="1" si="20"/>
        <v>0.40100875396011837</v>
      </c>
      <c r="S54" s="307">
        <f t="shared" ca="1" si="21"/>
        <v>5.82385344714507</v>
      </c>
      <c r="T54" s="304">
        <f t="shared" ca="1" si="1"/>
        <v>57.132002316493143</v>
      </c>
      <c r="U54" s="311">
        <f t="shared" ca="1" si="2"/>
        <v>0</v>
      </c>
      <c r="V54" s="306">
        <f t="shared" ca="1" si="3"/>
        <v>1.2173052931939827</v>
      </c>
      <c r="W54" s="304">
        <f t="shared" ca="1" si="4"/>
        <v>98.143938817859507</v>
      </c>
      <c r="Y54" s="314" t="str">
        <f t="shared" ca="1" si="22"/>
        <v/>
      </c>
      <c r="Z54" s="315" t="str">
        <f t="shared" ca="1" si="23"/>
        <v/>
      </c>
      <c r="AA54" s="316" t="str">
        <f t="shared" ca="1" si="24"/>
        <v/>
      </c>
      <c r="AC54" s="310" t="e">
        <f t="shared" ca="1" si="25"/>
        <v>#N/A</v>
      </c>
      <c r="AD54" s="323" t="e">
        <f t="shared" ca="1" si="26"/>
        <v>#N/A</v>
      </c>
      <c r="AE54" s="324">
        <f t="shared" ca="1" si="5"/>
        <v>63.011834167172154</v>
      </c>
      <c r="AG54" s="306">
        <f t="shared" ca="1" si="27"/>
        <v>110.93519472790189</v>
      </c>
      <c r="AH54" s="304">
        <f t="shared" ca="1" si="28"/>
        <v>120.5856490053215</v>
      </c>
    </row>
    <row r="55" spans="1:34" x14ac:dyDescent="0.2">
      <c r="A55" s="347">
        <f t="shared" ca="1" si="6"/>
        <v>0.01</v>
      </c>
      <c r="B55" s="304">
        <f t="shared" ca="1" si="7"/>
        <v>0.51000000000000023</v>
      </c>
      <c r="D55" s="306">
        <f t="shared" ca="1" si="8"/>
        <v>21.594660845717335</v>
      </c>
      <c r="E55" s="307">
        <f t="shared" ca="1" si="9"/>
        <v>108.3853583786665</v>
      </c>
      <c r="F55" s="304">
        <f t="shared" ca="1" si="10"/>
        <v>110.51567892346102</v>
      </c>
      <c r="G55" s="306">
        <f t="shared" ca="1" si="11"/>
        <v>28.547907033091306</v>
      </c>
      <c r="H55" s="307">
        <f t="shared" ca="1" si="12"/>
        <v>156.15487969920466</v>
      </c>
      <c r="I55" s="304">
        <f t="shared" ca="1" si="13"/>
        <v>158.74296661535308</v>
      </c>
      <c r="J55" s="306">
        <f t="shared" ca="1" si="14"/>
        <v>11.609228499767596</v>
      </c>
      <c r="K55" s="307">
        <f t="shared" ca="1" si="15"/>
        <v>64.567963696245272</v>
      </c>
      <c r="L55" s="304">
        <f t="shared" ca="1" si="0"/>
        <v>65.603324018219254</v>
      </c>
      <c r="M55" s="306">
        <f t="shared" ca="1" si="16"/>
        <v>1.3899752712651805</v>
      </c>
      <c r="N55" s="304">
        <f t="shared" ca="1" si="17"/>
        <v>79.639716671046571</v>
      </c>
      <c r="P55" s="310">
        <f t="shared" ca="1" si="18"/>
        <v>3</v>
      </c>
      <c r="Q55" s="304">
        <f t="shared" ca="1" si="19"/>
        <v>797.41</v>
      </c>
      <c r="R55" s="306">
        <f t="shared" ca="1" si="20"/>
        <v>0.40018292629604973</v>
      </c>
      <c r="S55" s="307">
        <f t="shared" ca="1" si="21"/>
        <v>5.8198516178821098</v>
      </c>
      <c r="T55" s="304">
        <f t="shared" ca="1" si="1"/>
        <v>57.0927443714235</v>
      </c>
      <c r="U55" s="311">
        <f t="shared" ca="1" si="2"/>
        <v>0</v>
      </c>
      <c r="V55" s="306">
        <f t="shared" ca="1" si="3"/>
        <v>1.2171158775338686</v>
      </c>
      <c r="W55" s="304">
        <f t="shared" ca="1" si="4"/>
        <v>99.509222123292844</v>
      </c>
      <c r="Y55" s="314" t="str">
        <f t="shared" ca="1" si="22"/>
        <v/>
      </c>
      <c r="Z55" s="315" t="str">
        <f t="shared" ca="1" si="23"/>
        <v/>
      </c>
      <c r="AA55" s="316" t="str">
        <f t="shared" ca="1" si="24"/>
        <v/>
      </c>
      <c r="AC55" s="310" t="e">
        <f t="shared" ca="1" si="25"/>
        <v>#N/A</v>
      </c>
      <c r="AD55" s="323" t="e">
        <f t="shared" ca="1" si="26"/>
        <v>#N/A</v>
      </c>
      <c r="AE55" s="324">
        <f t="shared" ca="1" si="5"/>
        <v>64.567963696245272</v>
      </c>
      <c r="AG55" s="306">
        <f t="shared" ca="1" si="27"/>
        <v>110.50161380291347</v>
      </c>
      <c r="AH55" s="304">
        <f t="shared" ca="1" si="28"/>
        <v>120.15187106034998</v>
      </c>
    </row>
    <row r="56" spans="1:34" x14ac:dyDescent="0.2">
      <c r="A56" s="347">
        <f t="shared" ca="1" si="6"/>
        <v>0.01</v>
      </c>
      <c r="B56" s="304">
        <f t="shared" ca="1" si="7"/>
        <v>0.52000000000000024</v>
      </c>
      <c r="D56" s="306">
        <f t="shared" ca="1" si="8"/>
        <v>21.543929574574456</v>
      </c>
      <c r="E56" s="307">
        <f t="shared" ca="1" si="9"/>
        <v>108.03365582619455</v>
      </c>
      <c r="F56" s="304">
        <f t="shared" ca="1" si="10"/>
        <v>110.16084464403349</v>
      </c>
      <c r="G56" s="306">
        <f t="shared" ca="1" si="11"/>
        <v>28.763346328837052</v>
      </c>
      <c r="H56" s="307">
        <f t="shared" ca="1" si="12"/>
        <v>157.23521625746659</v>
      </c>
      <c r="I56" s="304">
        <f t="shared" ca="1" si="13"/>
        <v>159.84443475944013</v>
      </c>
      <c r="J56" s="306">
        <f t="shared" ca="1" si="14"/>
        <v>11.895784766577238</v>
      </c>
      <c r="K56" s="307">
        <f t="shared" ca="1" si="15"/>
        <v>66.13491417602863</v>
      </c>
      <c r="L56" s="304">
        <f t="shared" ca="1" si="0"/>
        <v>67.196254123897447</v>
      </c>
      <c r="M56" s="306">
        <f t="shared" ca="1" si="16"/>
        <v>1.3898649012074706</v>
      </c>
      <c r="N56" s="304">
        <f t="shared" ca="1" si="17"/>
        <v>79.633392932555182</v>
      </c>
      <c r="P56" s="310">
        <f t="shared" ca="1" si="18"/>
        <v>3</v>
      </c>
      <c r="Q56" s="304">
        <f t="shared" ca="1" si="19"/>
        <v>796.23</v>
      </c>
      <c r="R56" s="306">
        <f t="shared" ca="1" si="20"/>
        <v>0.39959073927428013</v>
      </c>
      <c r="S56" s="307">
        <f t="shared" ca="1" si="21"/>
        <v>5.8158557104893669</v>
      </c>
      <c r="T56" s="304">
        <f t="shared" ca="1" si="1"/>
        <v>57.05354451990069</v>
      </c>
      <c r="U56" s="311">
        <f t="shared" ca="1" si="2"/>
        <v>0</v>
      </c>
      <c r="V56" s="306">
        <f t="shared" ca="1" si="3"/>
        <v>1.2169251744083112</v>
      </c>
      <c r="W56" s="304">
        <f t="shared" ca="1" si="4"/>
        <v>100.87913154289446</v>
      </c>
      <c r="Y56" s="314" t="str">
        <f t="shared" ca="1" si="22"/>
        <v/>
      </c>
      <c r="Z56" s="315" t="str">
        <f t="shared" ca="1" si="23"/>
        <v/>
      </c>
      <c r="AA56" s="316" t="str">
        <f t="shared" ca="1" si="24"/>
        <v/>
      </c>
      <c r="AC56" s="310" t="e">
        <f t="shared" ca="1" si="25"/>
        <v>#N/A</v>
      </c>
      <c r="AD56" s="323" t="e">
        <f t="shared" ca="1" si="26"/>
        <v>#N/A</v>
      </c>
      <c r="AE56" s="324">
        <f t="shared" ca="1" si="5"/>
        <v>66.13491417602863</v>
      </c>
      <c r="AG56" s="306">
        <f t="shared" ca="1" si="27"/>
        <v>110.14671705105968</v>
      </c>
      <c r="AH56" s="304">
        <f t="shared" ca="1" si="28"/>
        <v>119.79677842077733</v>
      </c>
    </row>
    <row r="57" spans="1:34" x14ac:dyDescent="0.2">
      <c r="A57" s="347">
        <f t="shared" ca="1" si="6"/>
        <v>0.01</v>
      </c>
      <c r="B57" s="304">
        <f t="shared" ca="1" si="7"/>
        <v>0.53000000000000025</v>
      </c>
      <c r="D57" s="306">
        <f t="shared" ca="1" si="8"/>
        <v>21.492785402260825</v>
      </c>
      <c r="E57" s="307">
        <f t="shared" ca="1" si="9"/>
        <v>107.680598001517</v>
      </c>
      <c r="F57" s="304">
        <f t="shared" ca="1" si="10"/>
        <v>109.8046037755792</v>
      </c>
      <c r="G57" s="306">
        <f t="shared" ca="1" si="11"/>
        <v>28.978274182859661</v>
      </c>
      <c r="H57" s="307">
        <f t="shared" ca="1" si="12"/>
        <v>158.31202223748176</v>
      </c>
      <c r="I57" s="304">
        <f t="shared" ca="1" si="13"/>
        <v>160.94233985977061</v>
      </c>
      <c r="J57" s="306">
        <f t="shared" ca="1" si="14"/>
        <v>12.184492869135722</v>
      </c>
      <c r="K57" s="307">
        <f t="shared" ca="1" si="15"/>
        <v>67.712650368503375</v>
      </c>
      <c r="L57" s="304">
        <f t="shared" ca="1" si="0"/>
        <v>68.800180860265186</v>
      </c>
      <c r="M57" s="306">
        <f t="shared" ca="1" si="16"/>
        <v>1.3897552178875014</v>
      </c>
      <c r="N57" s="304">
        <f t="shared" ca="1" si="17"/>
        <v>79.627108541237959</v>
      </c>
      <c r="P57" s="310">
        <f t="shared" ca="1" si="18"/>
        <v>3</v>
      </c>
      <c r="Q57" s="304">
        <f t="shared" ca="1" si="19"/>
        <v>795.05</v>
      </c>
      <c r="R57" s="306">
        <f t="shared" ca="1" si="20"/>
        <v>0.39899855225251041</v>
      </c>
      <c r="S57" s="307">
        <f t="shared" ca="1" si="21"/>
        <v>5.8118657249668422</v>
      </c>
      <c r="T57" s="304">
        <f t="shared" ca="1" si="1"/>
        <v>57.014402761924721</v>
      </c>
      <c r="U57" s="311">
        <f t="shared" ca="1" si="2"/>
        <v>0</v>
      </c>
      <c r="V57" s="306">
        <f t="shared" ca="1" si="3"/>
        <v>1.2167331887149686</v>
      </c>
      <c r="W57" s="304">
        <f t="shared" ca="1" si="4"/>
        <v>102.25355019446049</v>
      </c>
      <c r="Y57" s="314" t="str">
        <f t="shared" ca="1" si="22"/>
        <v/>
      </c>
      <c r="Z57" s="315" t="str">
        <f t="shared" ca="1" si="23"/>
        <v/>
      </c>
      <c r="AA57" s="316" t="str">
        <f t="shared" ca="1" si="24"/>
        <v/>
      </c>
      <c r="AC57" s="310" t="e">
        <f t="shared" ca="1" si="25"/>
        <v>#N/A</v>
      </c>
      <c r="AD57" s="323" t="e">
        <f t="shared" ca="1" si="26"/>
        <v>#N/A</v>
      </c>
      <c r="AE57" s="324">
        <f t="shared" ca="1" si="5"/>
        <v>67.712650368503375</v>
      </c>
      <c r="AG57" s="306">
        <f t="shared" ca="1" si="27"/>
        <v>109.79041322276638</v>
      </c>
      <c r="AH57" s="304">
        <f t="shared" ca="1" si="28"/>
        <v>119.44027981841681</v>
      </c>
    </row>
    <row r="58" spans="1:34" x14ac:dyDescent="0.2">
      <c r="A58" s="347">
        <f t="shared" ca="1" si="6"/>
        <v>0.01</v>
      </c>
      <c r="B58" s="304">
        <f t="shared" ca="1" si="7"/>
        <v>0.54000000000000026</v>
      </c>
      <c r="D58" s="306">
        <f t="shared" ca="1" si="8"/>
        <v>21.441233265614169</v>
      </c>
      <c r="E58" s="307">
        <f t="shared" ca="1" si="9"/>
        <v>107.32620266429458</v>
      </c>
      <c r="F58" s="304">
        <f t="shared" ca="1" si="10"/>
        <v>109.44697466027883</v>
      </c>
      <c r="G58" s="306">
        <f t="shared" ca="1" si="11"/>
        <v>29.192686515515803</v>
      </c>
      <c r="H58" s="307">
        <f t="shared" ca="1" si="12"/>
        <v>159.38528426412469</v>
      </c>
      <c r="I58" s="304">
        <f t="shared" ca="1" si="13"/>
        <v>162.03666802902671</v>
      </c>
      <c r="J58" s="306">
        <f t="shared" ca="1" si="14"/>
        <v>12.475347672627599</v>
      </c>
      <c r="K58" s="307">
        <f t="shared" ca="1" si="15"/>
        <v>69.301136901011404</v>
      </c>
      <c r="L58" s="304">
        <f t="shared" ca="1" si="0"/>
        <v>70.415068524610973</v>
      </c>
      <c r="M58" s="306">
        <f t="shared" ca="1" si="16"/>
        <v>1.3896462100032878</v>
      </c>
      <c r="N58" s="304">
        <f t="shared" ca="1" si="17"/>
        <v>79.620862849538867</v>
      </c>
      <c r="P58" s="310">
        <f t="shared" ca="1" si="18"/>
        <v>3</v>
      </c>
      <c r="Q58" s="304">
        <f t="shared" ca="1" si="19"/>
        <v>793.87</v>
      </c>
      <c r="R58" s="306">
        <f t="shared" ca="1" si="20"/>
        <v>0.3984063652307408</v>
      </c>
      <c r="S58" s="307">
        <f t="shared" ca="1" si="21"/>
        <v>5.8078816613145348</v>
      </c>
      <c r="T58" s="304">
        <f t="shared" ca="1" si="1"/>
        <v>56.975319097495586</v>
      </c>
      <c r="U58" s="311">
        <f t="shared" ca="1" si="2"/>
        <v>0</v>
      </c>
      <c r="V58" s="306">
        <f t="shared" ca="1" si="3"/>
        <v>1.2165399253691354</v>
      </c>
      <c r="W58" s="304">
        <f t="shared" ca="1" si="4"/>
        <v>103.63236130377514</v>
      </c>
      <c r="Y58" s="314" t="str">
        <f t="shared" ca="1" si="22"/>
        <v/>
      </c>
      <c r="Z58" s="315" t="str">
        <f t="shared" ca="1" si="23"/>
        <v/>
      </c>
      <c r="AA58" s="316" t="str">
        <f t="shared" ca="1" si="24"/>
        <v/>
      </c>
      <c r="AC58" s="310" t="e">
        <f t="shared" ca="1" si="25"/>
        <v>#N/A</v>
      </c>
      <c r="AD58" s="323" t="e">
        <f t="shared" ca="1" si="26"/>
        <v>#N/A</v>
      </c>
      <c r="AE58" s="324">
        <f t="shared" ca="1" si="5"/>
        <v>69.301136901011404</v>
      </c>
      <c r="AG58" s="306">
        <f t="shared" ca="1" si="27"/>
        <v>109.43272065380422</v>
      </c>
      <c r="AH58" s="304">
        <f t="shared" ca="1" si="28"/>
        <v>119.08239357084311</v>
      </c>
    </row>
    <row r="59" spans="1:34" x14ac:dyDescent="0.2">
      <c r="A59" s="347">
        <f t="shared" ca="1" si="6"/>
        <v>0.01</v>
      </c>
      <c r="B59" s="304">
        <f t="shared" ca="1" si="7"/>
        <v>0.55000000000000027</v>
      </c>
      <c r="D59" s="306">
        <f t="shared" ca="1" si="8"/>
        <v>21.389278074997893</v>
      </c>
      <c r="E59" s="307">
        <f t="shared" ca="1" si="9"/>
        <v>106.97048761891121</v>
      </c>
      <c r="F59" s="304">
        <f t="shared" ca="1" si="10"/>
        <v>109.08797568016936</v>
      </c>
      <c r="G59" s="306">
        <f t="shared" ca="1" si="11"/>
        <v>29.406579296265782</v>
      </c>
      <c r="H59" s="307">
        <f t="shared" ca="1" si="12"/>
        <v>160.45498914031381</v>
      </c>
      <c r="I59" s="304">
        <f t="shared" ca="1" si="13"/>
        <v>163.1274055636446</v>
      </c>
      <c r="J59" s="306">
        <f t="shared" ca="1" si="14"/>
        <v>12.768344001686508</v>
      </c>
      <c r="K59" s="307">
        <f t="shared" ca="1" si="15"/>
        <v>70.900338268033593</v>
      </c>
      <c r="L59" s="304">
        <f t="shared" ca="1" si="0"/>
        <v>72.040881276307218</v>
      </c>
      <c r="M59" s="306">
        <f t="shared" ca="1" si="16"/>
        <v>1.3895378665089209</v>
      </c>
      <c r="N59" s="304">
        <f t="shared" ca="1" si="17"/>
        <v>79.614655224573951</v>
      </c>
      <c r="P59" s="310">
        <f t="shared" ca="1" si="18"/>
        <v>3</v>
      </c>
      <c r="Q59" s="304">
        <f t="shared" ca="1" si="19"/>
        <v>792.68999999999994</v>
      </c>
      <c r="R59" s="306">
        <f t="shared" ca="1" si="20"/>
        <v>0.39781417820897108</v>
      </c>
      <c r="S59" s="307">
        <f t="shared" ca="1" si="21"/>
        <v>5.8039035195324447</v>
      </c>
      <c r="T59" s="304">
        <f t="shared" ca="1" si="1"/>
        <v>56.936293526613284</v>
      </c>
      <c r="U59" s="311">
        <f t="shared" ca="1" si="2"/>
        <v>0</v>
      </c>
      <c r="V59" s="306">
        <f t="shared" ca="1" si="3"/>
        <v>1.2163453893034639</v>
      </c>
      <c r="W59" s="304">
        <f t="shared" ca="1" si="4"/>
        <v>105.01544821838441</v>
      </c>
      <c r="Y59" s="314" t="str">
        <f t="shared" ca="1" si="22"/>
        <v/>
      </c>
      <c r="Z59" s="315" t="str">
        <f t="shared" ca="1" si="23"/>
        <v/>
      </c>
      <c r="AA59" s="316" t="str">
        <f t="shared" ca="1" si="24"/>
        <v/>
      </c>
      <c r="AC59" s="310" t="e">
        <f t="shared" ca="1" si="25"/>
        <v>#N/A</v>
      </c>
      <c r="AD59" s="323" t="e">
        <f t="shared" ca="1" si="26"/>
        <v>#N/A</v>
      </c>
      <c r="AE59" s="324">
        <f t="shared" ca="1" si="5"/>
        <v>70.900338268033593</v>
      </c>
      <c r="AG59" s="306">
        <f t="shared" ca="1" si="27"/>
        <v>109.07365771976224</v>
      </c>
      <c r="AH59" s="304">
        <f t="shared" ca="1" si="28"/>
        <v>118.72313803585322</v>
      </c>
    </row>
    <row r="60" spans="1:34" x14ac:dyDescent="0.2">
      <c r="A60" s="347">
        <f t="shared" ca="1" si="6"/>
        <v>0.01</v>
      </c>
      <c r="B60" s="304">
        <f t="shared" ca="1" si="7"/>
        <v>0.56000000000000028</v>
      </c>
      <c r="D60" s="306">
        <f t="shared" ca="1" si="8"/>
        <v>21.336924715020352</v>
      </c>
      <c r="E60" s="307">
        <f t="shared" ca="1" si="9"/>
        <v>106.61347071191084</v>
      </c>
      <c r="F60" s="304">
        <f t="shared" ca="1" si="10"/>
        <v>108.72762525473421</v>
      </c>
      <c r="G60" s="306">
        <f t="shared" ca="1" si="11"/>
        <v>29.619948543415987</v>
      </c>
      <c r="H60" s="307">
        <f t="shared" ca="1" si="12"/>
        <v>161.52112384743293</v>
      </c>
      <c r="I60" s="304">
        <f t="shared" ca="1" si="13"/>
        <v>164.21453894418843</v>
      </c>
      <c r="J60" s="306">
        <f t="shared" ca="1" si="14"/>
        <v>13.063476640884916</v>
      </c>
      <c r="K60" s="307">
        <f t="shared" ca="1" si="15"/>
        <v>72.510218832972328</v>
      </c>
      <c r="L60" s="304">
        <f t="shared" ca="1" si="0"/>
        <v>73.677583138648629</v>
      </c>
      <c r="M60" s="306">
        <f t="shared" ca="1" si="16"/>
        <v>1.3894301766067998</v>
      </c>
      <c r="N60" s="304">
        <f t="shared" ca="1" si="17"/>
        <v>79.60848504768623</v>
      </c>
      <c r="P60" s="310">
        <f t="shared" ca="1" si="18"/>
        <v>3</v>
      </c>
      <c r="Q60" s="304">
        <f t="shared" ca="1" si="19"/>
        <v>791.51</v>
      </c>
      <c r="R60" s="306">
        <f t="shared" ca="1" si="20"/>
        <v>0.39722199118720147</v>
      </c>
      <c r="S60" s="307">
        <f t="shared" ca="1" si="21"/>
        <v>5.7999312996205727</v>
      </c>
      <c r="T60" s="304">
        <f t="shared" ca="1" si="1"/>
        <v>56.897326049277822</v>
      </c>
      <c r="U60" s="311">
        <f t="shared" ca="1" si="2"/>
        <v>0</v>
      </c>
      <c r="V60" s="306">
        <f t="shared" ca="1" si="3"/>
        <v>1.2161495854676858</v>
      </c>
      <c r="W60" s="304">
        <f t="shared" ca="1" si="4"/>
        <v>106.40269442127349</v>
      </c>
      <c r="Y60" s="314" t="str">
        <f t="shared" ca="1" si="22"/>
        <v/>
      </c>
      <c r="Z60" s="315" t="str">
        <f t="shared" ca="1" si="23"/>
        <v/>
      </c>
      <c r="AA60" s="316" t="str">
        <f t="shared" ca="1" si="24"/>
        <v/>
      </c>
      <c r="AC60" s="310" t="e">
        <f t="shared" ca="1" si="25"/>
        <v>#N/A</v>
      </c>
      <c r="AD60" s="323" t="e">
        <f t="shared" ca="1" si="26"/>
        <v>#N/A</v>
      </c>
      <c r="AE60" s="324">
        <f t="shared" ca="1" si="5"/>
        <v>72.510218832972328</v>
      </c>
      <c r="AG60" s="306">
        <f t="shared" ca="1" si="27"/>
        <v>108.71324283363597</v>
      </c>
      <c r="AH60" s="304">
        <f t="shared" ca="1" si="28"/>
        <v>118.36253160904259</v>
      </c>
    </row>
    <row r="61" spans="1:34" x14ac:dyDescent="0.2">
      <c r="A61" s="347">
        <f t="shared" ca="1" si="6"/>
        <v>0.01</v>
      </c>
      <c r="B61" s="304">
        <f t="shared" ca="1" si="7"/>
        <v>0.57000000000000028</v>
      </c>
      <c r="D61" s="306">
        <f t="shared" ca="1" si="8"/>
        <v>21.284178045209309</v>
      </c>
      <c r="E61" s="307">
        <f t="shared" ca="1" si="9"/>
        <v>106.25516982944734</v>
      </c>
      <c r="F61" s="304">
        <f t="shared" ca="1" si="10"/>
        <v>108.36594183849861</v>
      </c>
      <c r="G61" s="306">
        <f t="shared" ca="1" si="11"/>
        <v>29.832790323868078</v>
      </c>
      <c r="H61" s="307">
        <f t="shared" ca="1" si="12"/>
        <v>162.5836755457274</v>
      </c>
      <c r="I61" s="304">
        <f t="shared" ca="1" si="13"/>
        <v>165.29805483570047</v>
      </c>
      <c r="J61" s="306">
        <f t="shared" ca="1" si="14"/>
        <v>13.360740335221337</v>
      </c>
      <c r="K61" s="307">
        <f t="shared" ca="1" si="15"/>
        <v>74.130742829938129</v>
      </c>
      <c r="L61" s="304">
        <f t="shared" ca="1" si="0"/>
        <v>75.325138000694253</v>
      </c>
      <c r="M61" s="306">
        <f t="shared" ca="1" si="16"/>
        <v>1.3893231297401558</v>
      </c>
      <c r="N61" s="304">
        <f t="shared" ca="1" si="17"/>
        <v>79.602351714017431</v>
      </c>
      <c r="P61" s="310">
        <f t="shared" ca="1" si="18"/>
        <v>3</v>
      </c>
      <c r="Q61" s="304">
        <f t="shared" ca="1" si="19"/>
        <v>790.32999999999993</v>
      </c>
      <c r="R61" s="306">
        <f t="shared" ca="1" si="20"/>
        <v>0.39662980416543181</v>
      </c>
      <c r="S61" s="307">
        <f t="shared" ca="1" si="21"/>
        <v>5.7959650015789181</v>
      </c>
      <c r="T61" s="304">
        <f t="shared" ca="1" si="1"/>
        <v>56.858416665489187</v>
      </c>
      <c r="U61" s="311">
        <f t="shared" ca="1" si="2"/>
        <v>0</v>
      </c>
      <c r="V61" s="306">
        <f t="shared" ca="1" si="3"/>
        <v>1.2159525188283327</v>
      </c>
      <c r="W61" s="304">
        <f t="shared" ca="1" si="4"/>
        <v>107.79398354444621</v>
      </c>
      <c r="Y61" s="314" t="str">
        <f t="shared" ca="1" si="22"/>
        <v/>
      </c>
      <c r="Z61" s="315" t="str">
        <f t="shared" ca="1" si="23"/>
        <v/>
      </c>
      <c r="AA61" s="316" t="str">
        <f t="shared" ca="1" si="24"/>
        <v/>
      </c>
      <c r="AC61" s="310" t="e">
        <f t="shared" ca="1" si="25"/>
        <v>#N/A</v>
      </c>
      <c r="AD61" s="323" t="e">
        <f t="shared" ca="1" si="26"/>
        <v>#N/A</v>
      </c>
      <c r="AE61" s="324">
        <f t="shared" ca="1" si="5"/>
        <v>74.130742829938129</v>
      </c>
      <c r="AG61" s="306">
        <f t="shared" ca="1" si="27"/>
        <v>108.35149444342107</v>
      </c>
      <c r="AH61" s="304">
        <f t="shared" ca="1" si="28"/>
        <v>118.00059272138688</v>
      </c>
    </row>
    <row r="62" spans="1:34" x14ac:dyDescent="0.2">
      <c r="A62" s="347">
        <f t="shared" ca="1" si="6"/>
        <v>0.01</v>
      </c>
      <c r="B62" s="304">
        <f t="shared" ca="1" si="7"/>
        <v>0.58000000000000029</v>
      </c>
      <c r="D62" s="306">
        <f t="shared" ca="1" si="8"/>
        <v>21.231042900644102</v>
      </c>
      <c r="E62" s="307">
        <f t="shared" ca="1" si="9"/>
        <v>105.89560289474726</v>
      </c>
      <c r="F62" s="304">
        <f t="shared" ca="1" si="10"/>
        <v>108.00294391863119</v>
      </c>
      <c r="G62" s="306">
        <f t="shared" ca="1" si="11"/>
        <v>30.045100752874518</v>
      </c>
      <c r="H62" s="307">
        <f t="shared" ca="1" si="12"/>
        <v>163.64263157467488</v>
      </c>
      <c r="I62" s="304">
        <f t="shared" ca="1" si="13"/>
        <v>166.37794008802717</v>
      </c>
      <c r="J62" s="306">
        <f t="shared" ca="1" si="14"/>
        <v>13.660129790605049</v>
      </c>
      <c r="K62" s="307">
        <f t="shared" ca="1" si="15"/>
        <v>75.761874365540137</v>
      </c>
      <c r="L62" s="304">
        <f t="shared" ca="1" si="0"/>
        <v>76.983509619112994</v>
      </c>
      <c r="M62" s="306">
        <f t="shared" ca="1" si="16"/>
        <v>1.3892167155858595</v>
      </c>
      <c r="N62" s="304">
        <f t="shared" ca="1" si="17"/>
        <v>79.596254632095793</v>
      </c>
      <c r="P62" s="310">
        <f t="shared" ca="1" si="18"/>
        <v>3</v>
      </c>
      <c r="Q62" s="304">
        <f t="shared" ca="1" si="19"/>
        <v>789.15</v>
      </c>
      <c r="R62" s="306">
        <f t="shared" ca="1" si="20"/>
        <v>0.39603761714366215</v>
      </c>
      <c r="S62" s="307">
        <f t="shared" ca="1" si="21"/>
        <v>5.7920046254074817</v>
      </c>
      <c r="T62" s="304">
        <f t="shared" ca="1" si="1"/>
        <v>56.8195653752474</v>
      </c>
      <c r="U62" s="311">
        <f t="shared" ca="1" si="2"/>
        <v>0</v>
      </c>
      <c r="V62" s="306">
        <f t="shared" ca="1" si="3"/>
        <v>1.2157541943684547</v>
      </c>
      <c r="W62" s="304">
        <f t="shared" ca="1" si="4"/>
        <v>109.18919938240306</v>
      </c>
      <c r="Y62" s="314" t="str">
        <f t="shared" ca="1" si="22"/>
        <v/>
      </c>
      <c r="Z62" s="315" t="str">
        <f t="shared" ca="1" si="23"/>
        <v/>
      </c>
      <c r="AA62" s="316" t="str">
        <f t="shared" ca="1" si="24"/>
        <v/>
      </c>
      <c r="AC62" s="310" t="e">
        <f t="shared" ca="1" si="25"/>
        <v>#N/A</v>
      </c>
      <c r="AD62" s="323" t="e">
        <f t="shared" ca="1" si="26"/>
        <v>#N/A</v>
      </c>
      <c r="AE62" s="324">
        <f t="shared" ca="1" si="5"/>
        <v>75.761874365540137</v>
      </c>
      <c r="AG62" s="306">
        <f t="shared" ca="1" si="27"/>
        <v>107.98843102971293</v>
      </c>
      <c r="AH62" s="304">
        <f t="shared" ca="1" si="28"/>
        <v>117.63733983683045</v>
      </c>
    </row>
    <row r="63" spans="1:34" x14ac:dyDescent="0.2">
      <c r="A63" s="347">
        <f t="shared" ca="1" si="6"/>
        <v>0.01</v>
      </c>
      <c r="B63" s="304">
        <f t="shared" ca="1" si="7"/>
        <v>0.5900000000000003</v>
      </c>
      <c r="D63" s="306">
        <f t="shared" ca="1" si="8"/>
        <v>21.177524092546996</v>
      </c>
      <c r="E63" s="307">
        <f t="shared" ca="1" si="9"/>
        <v>105.53478786558601</v>
      </c>
      <c r="F63" s="304">
        <f t="shared" ca="1" si="10"/>
        <v>107.63865001255195</v>
      </c>
      <c r="G63" s="306">
        <f t="shared" ca="1" si="11"/>
        <v>30.256875993799987</v>
      </c>
      <c r="H63" s="307">
        <f t="shared" ca="1" si="12"/>
        <v>164.69797945333073</v>
      </c>
      <c r="I63" s="304">
        <f t="shared" ca="1" si="13"/>
        <v>167.45418173612128</v>
      </c>
      <c r="J63" s="306">
        <f t="shared" ca="1" si="14"/>
        <v>13.961639674338421</v>
      </c>
      <c r="K63" s="307">
        <f t="shared" ca="1" si="15"/>
        <v>77.403577420680165</v>
      </c>
      <c r="L63" s="304">
        <f t="shared" ca="1" si="0"/>
        <v>78.65266162003222</v>
      </c>
      <c r="M63" s="306">
        <f t="shared" ca="1" si="16"/>
        <v>1.3891109240474908</v>
      </c>
      <c r="N63" s="304">
        <f t="shared" ca="1" si="17"/>
        <v>79.590193223439073</v>
      </c>
      <c r="P63" s="310">
        <f t="shared" ca="1" si="18"/>
        <v>3</v>
      </c>
      <c r="Q63" s="304">
        <f t="shared" ca="1" si="19"/>
        <v>787.96999999999991</v>
      </c>
      <c r="R63" s="306">
        <f t="shared" ca="1" si="20"/>
        <v>0.39544543012189248</v>
      </c>
      <c r="S63" s="307">
        <f t="shared" ca="1" si="21"/>
        <v>5.7880501711062626</v>
      </c>
      <c r="T63" s="304">
        <f t="shared" ca="1" si="1"/>
        <v>56.780772178552439</v>
      </c>
      <c r="U63" s="311">
        <f t="shared" ca="1" si="2"/>
        <v>0</v>
      </c>
      <c r="V63" s="306">
        <f t="shared" ca="1" si="3"/>
        <v>1.2155546170873444</v>
      </c>
      <c r="W63" s="304">
        <f t="shared" ca="1" si="4"/>
        <v>110.58822590551651</v>
      </c>
      <c r="Y63" s="314" t="str">
        <f t="shared" ca="1" si="22"/>
        <v/>
      </c>
      <c r="Z63" s="315" t="str">
        <f t="shared" ca="1" si="23"/>
        <v/>
      </c>
      <c r="AA63" s="316" t="str">
        <f t="shared" ca="1" si="24"/>
        <v/>
      </c>
      <c r="AC63" s="310" t="e">
        <f t="shared" ca="1" si="25"/>
        <v>#N/A</v>
      </c>
      <c r="AD63" s="323" t="e">
        <f t="shared" ca="1" si="26"/>
        <v>#N/A</v>
      </c>
      <c r="AE63" s="324">
        <f t="shared" ca="1" si="5"/>
        <v>77.403577420680165</v>
      </c>
      <c r="AG63" s="306">
        <f t="shared" ca="1" si="27"/>
        <v>107.62407110331284</v>
      </c>
      <c r="AH63" s="304">
        <f t="shared" ca="1" si="28"/>
        <v>117.27279144988169</v>
      </c>
    </row>
    <row r="64" spans="1:34" x14ac:dyDescent="0.2">
      <c r="A64" s="347">
        <f t="shared" ca="1" si="6"/>
        <v>0.01</v>
      </c>
      <c r="B64" s="304">
        <f t="shared" ca="1" si="7"/>
        <v>0.60000000000000031</v>
      </c>
      <c r="D64" s="306">
        <f t="shared" ca="1" si="8"/>
        <v>21.123626408836564</v>
      </c>
      <c r="E64" s="307">
        <f t="shared" ca="1" si="9"/>
        <v>105.17274273177753</v>
      </c>
      <c r="F64" s="304">
        <f t="shared" ca="1" si="10"/>
        <v>107.27307866554759</v>
      </c>
      <c r="G64" s="306">
        <f t="shared" ca="1" si="11"/>
        <v>30.468112257888354</v>
      </c>
      <c r="H64" s="307">
        <f t="shared" ca="1" si="12"/>
        <v>165.74970688064852</v>
      </c>
      <c r="I64" s="304">
        <f t="shared" ca="1" si="13"/>
        <v>168.52676700032012</v>
      </c>
      <c r="J64" s="306">
        <f t="shared" ca="1" si="14"/>
        <v>14.265264615596863</v>
      </c>
      <c r="K64" s="307">
        <f t="shared" ca="1" si="15"/>
        <v>79.055815852350065</v>
      </c>
      <c r="L64" s="304">
        <f t="shared" ca="1" si="0"/>
        <v>80.33255750088928</v>
      </c>
      <c r="M64" s="306">
        <f t="shared" ca="1" si="16"/>
        <v>1.3890057452486697</v>
      </c>
      <c r="N64" s="304">
        <f t="shared" ca="1" si="17"/>
        <v>79.584166922172372</v>
      </c>
      <c r="P64" s="310">
        <f t="shared" ca="1" si="18"/>
        <v>3</v>
      </c>
      <c r="Q64" s="304">
        <f t="shared" ca="1" si="19"/>
        <v>786.79</v>
      </c>
      <c r="R64" s="306">
        <f t="shared" ca="1" si="20"/>
        <v>0.39485324310012287</v>
      </c>
      <c r="S64" s="307">
        <f t="shared" ca="1" si="21"/>
        <v>5.7841016386752617</v>
      </c>
      <c r="T64" s="304">
        <f t="shared" ca="1" si="1"/>
        <v>56.742037075404319</v>
      </c>
      <c r="U64" s="311">
        <f t="shared" ca="1" si="2"/>
        <v>0</v>
      </c>
      <c r="V64" s="306">
        <f t="shared" ca="1" si="3"/>
        <v>1.2153537920002524</v>
      </c>
      <c r="W64" s="304">
        <f t="shared" ca="1" si="4"/>
        <v>111.99094727329957</v>
      </c>
      <c r="Y64" s="314" t="str">
        <f t="shared" ca="1" si="22"/>
        <v/>
      </c>
      <c r="Z64" s="315" t="str">
        <f t="shared" ca="1" si="23"/>
        <v/>
      </c>
      <c r="AA64" s="316" t="str">
        <f t="shared" ca="1" si="24"/>
        <v/>
      </c>
      <c r="AC64" s="310" t="e">
        <f t="shared" ca="1" si="25"/>
        <v>#N/A</v>
      </c>
      <c r="AD64" s="323" t="e">
        <f t="shared" ca="1" si="26"/>
        <v>#N/A</v>
      </c>
      <c r="AE64" s="324">
        <f t="shared" ca="1" si="5"/>
        <v>79.055815852350065</v>
      </c>
      <c r="AG64" s="306">
        <f t="shared" ca="1" si="27"/>
        <v>107.25843320284159</v>
      </c>
      <c r="AH64" s="304">
        <f t="shared" ca="1" si="28"/>
        <v>116.90696608321609</v>
      </c>
    </row>
    <row r="65" spans="1:34" x14ac:dyDescent="0.2">
      <c r="A65" s="347">
        <f t="shared" ca="1" si="6"/>
        <v>0.01</v>
      </c>
      <c r="B65" s="304">
        <f t="shared" ca="1" si="7"/>
        <v>0.61000000000000032</v>
      </c>
      <c r="D65" s="306">
        <f t="shared" ca="1" si="8"/>
        <v>21.069354614643942</v>
      </c>
      <c r="E65" s="307">
        <f t="shared" ca="1" si="9"/>
        <v>104.80948551267775</v>
      </c>
      <c r="F65" s="304">
        <f t="shared" ca="1" si="10"/>
        <v>106.90624844839438</v>
      </c>
      <c r="G65" s="306">
        <f t="shared" ca="1" si="11"/>
        <v>30.678805804034795</v>
      </c>
      <c r="H65" s="307">
        <f t="shared" ca="1" si="12"/>
        <v>166.79780173577529</v>
      </c>
      <c r="I65" s="304">
        <f t="shared" ca="1" si="13"/>
        <v>169.59568328659986</v>
      </c>
      <c r="J65" s="306">
        <f t="shared" ca="1" si="14"/>
        <v>14.570999205906478</v>
      </c>
      <c r="K65" s="307">
        <f t="shared" ca="1" si="15"/>
        <v>80.718553395432181</v>
      </c>
      <c r="L65" s="304">
        <f t="shared" ca="1" si="0"/>
        <v>82.023160632285823</v>
      </c>
      <c r="M65" s="306">
        <f t="shared" ca="1" si="16"/>
        <v>1.3889011695266278</v>
      </c>
      <c r="N65" s="304">
        <f t="shared" ca="1" si="17"/>
        <v>79.578175174659833</v>
      </c>
      <c r="P65" s="310">
        <f t="shared" ca="1" si="18"/>
        <v>3</v>
      </c>
      <c r="Q65" s="304">
        <f t="shared" ca="1" si="19"/>
        <v>785.61</v>
      </c>
      <c r="R65" s="306">
        <f t="shared" ca="1" si="20"/>
        <v>0.39426105607835321</v>
      </c>
      <c r="S65" s="307">
        <f t="shared" ca="1" si="21"/>
        <v>5.7801590281144781</v>
      </c>
      <c r="T65" s="304">
        <f t="shared" ca="1" si="1"/>
        <v>56.703360065803032</v>
      </c>
      <c r="U65" s="311">
        <f t="shared" ca="1" si="2"/>
        <v>0</v>
      </c>
      <c r="V65" s="306">
        <f t="shared" ca="1" si="3"/>
        <v>1.2151517241381102</v>
      </c>
      <c r="W65" s="304">
        <f t="shared" ca="1" si="4"/>
        <v>113.39724784756667</v>
      </c>
      <c r="Y65" s="314" t="str">
        <f t="shared" ca="1" si="22"/>
        <v/>
      </c>
      <c r="Z65" s="315" t="str">
        <f t="shared" ca="1" si="23"/>
        <v/>
      </c>
      <c r="AA65" s="316" t="str">
        <f t="shared" ca="1" si="24"/>
        <v/>
      </c>
      <c r="AC65" s="310" t="e">
        <f t="shared" ca="1" si="25"/>
        <v>#N/A</v>
      </c>
      <c r="AD65" s="323" t="e">
        <f t="shared" ca="1" si="26"/>
        <v>#N/A</v>
      </c>
      <c r="AE65" s="324">
        <f t="shared" ca="1" si="5"/>
        <v>80.718553395432181</v>
      </c>
      <c r="AG65" s="306">
        <f t="shared" ca="1" si="27"/>
        <v>106.8915358923602</v>
      </c>
      <c r="AH65" s="304">
        <f t="shared" ca="1" si="28"/>
        <v>116.53988228528705</v>
      </c>
    </row>
    <row r="66" spans="1:34" x14ac:dyDescent="0.2">
      <c r="A66" s="347">
        <f t="shared" ca="1" si="6"/>
        <v>0.01</v>
      </c>
      <c r="B66" s="304">
        <f t="shared" ca="1" si="7"/>
        <v>0.62000000000000033</v>
      </c>
      <c r="D66" s="306">
        <f t="shared" ca="1" si="8"/>
        <v>21.014713452794481</v>
      </c>
      <c r="E66" s="307">
        <f t="shared" ca="1" si="9"/>
        <v>104.44503425470191</v>
      </c>
      <c r="F66" s="304">
        <f t="shared" ca="1" si="10"/>
        <v>106.53817795498905</v>
      </c>
      <c r="G66" s="306">
        <f t="shared" ca="1" si="11"/>
        <v>30.888952938562738</v>
      </c>
      <c r="H66" s="307">
        <f t="shared" ca="1" si="12"/>
        <v>167.8422520783223</v>
      </c>
      <c r="I66" s="304">
        <f t="shared" ca="1" si="13"/>
        <v>170.66091818680641</v>
      </c>
      <c r="J66" s="306">
        <f t="shared" ca="1" si="14"/>
        <v>14.878837999619465</v>
      </c>
      <c r="K66" s="307">
        <f t="shared" ca="1" si="15"/>
        <v>82.391753664502673</v>
      </c>
      <c r="L66" s="304">
        <f t="shared" ca="1" si="0"/>
        <v>83.724434259844415</v>
      </c>
      <c r="M66" s="306">
        <f t="shared" ca="1" si="16"/>
        <v>1.3887971874260159</v>
      </c>
      <c r="N66" s="304">
        <f t="shared" ca="1" si="17"/>
        <v>79.572217439149867</v>
      </c>
      <c r="P66" s="310">
        <f t="shared" ca="1" si="18"/>
        <v>3</v>
      </c>
      <c r="Q66" s="304">
        <f t="shared" ca="1" si="19"/>
        <v>784.43</v>
      </c>
      <c r="R66" s="306">
        <f t="shared" ca="1" si="20"/>
        <v>0.39366886905658355</v>
      </c>
      <c r="S66" s="307">
        <f t="shared" ca="1" si="21"/>
        <v>5.7762223394239127</v>
      </c>
      <c r="T66" s="304">
        <f t="shared" ca="1" si="1"/>
        <v>56.664741149748586</v>
      </c>
      <c r="U66" s="311">
        <f t="shared" ca="1" si="2"/>
        <v>0</v>
      </c>
      <c r="V66" s="306">
        <f t="shared" ca="1" si="3"/>
        <v>1.2149484185472483</v>
      </c>
      <c r="W66" s="304">
        <f t="shared" ca="1" si="4"/>
        <v>114.80701220548396</v>
      </c>
      <c r="Y66" s="314" t="str">
        <f t="shared" ca="1" si="22"/>
        <v/>
      </c>
      <c r="Z66" s="315" t="str">
        <f t="shared" ca="1" si="23"/>
        <v/>
      </c>
      <c r="AA66" s="316" t="str">
        <f t="shared" ca="1" si="24"/>
        <v/>
      </c>
      <c r="AC66" s="310" t="e">
        <f t="shared" ca="1" si="25"/>
        <v>#N/A</v>
      </c>
      <c r="AD66" s="323" t="e">
        <f t="shared" ca="1" si="26"/>
        <v>#N/A</v>
      </c>
      <c r="AE66" s="324">
        <f t="shared" ca="1" si="5"/>
        <v>82.391753664502673</v>
      </c>
      <c r="AG66" s="306">
        <f t="shared" ca="1" si="27"/>
        <v>106.52339775899932</v>
      </c>
      <c r="AH66" s="304">
        <f t="shared" ca="1" si="28"/>
        <v>116.17155862794546</v>
      </c>
    </row>
    <row r="67" spans="1:34" x14ac:dyDescent="0.2">
      <c r="A67" s="347">
        <f t="shared" ca="1" si="6"/>
        <v>0.01</v>
      </c>
      <c r="B67" s="304">
        <f t="shared" ca="1" si="7"/>
        <v>0.63000000000000034</v>
      </c>
      <c r="D67" s="306">
        <f t="shared" ca="1" si="8"/>
        <v>20.959707644256049</v>
      </c>
      <c r="E67" s="307">
        <f t="shared" ca="1" si="9"/>
        <v>104.07940702885645</v>
      </c>
      <c r="F67" s="304">
        <f t="shared" ca="1" si="10"/>
        <v>106.16888579998877</v>
      </c>
      <c r="G67" s="306">
        <f t="shared" ca="1" si="11"/>
        <v>31.098550015005298</v>
      </c>
      <c r="H67" s="307">
        <f t="shared" ca="1" si="12"/>
        <v>168.88304614861087</v>
      </c>
      <c r="I67" s="304">
        <f t="shared" ca="1" si="13"/>
        <v>171.72245947886262</v>
      </c>
      <c r="J67" s="306">
        <f t="shared" ca="1" si="14"/>
        <v>15.188775514387306</v>
      </c>
      <c r="K67" s="307">
        <f t="shared" ca="1" si="15"/>
        <v>84.075380155637333</v>
      </c>
      <c r="L67" s="304">
        <f t="shared" ca="1" si="0"/>
        <v>85.436341506067478</v>
      </c>
      <c r="M67" s="306">
        <f t="shared" ca="1" si="16"/>
        <v>1.3886937896929332</v>
      </c>
      <c r="N67" s="304">
        <f t="shared" ca="1" si="17"/>
        <v>79.566293185433011</v>
      </c>
      <c r="P67" s="310">
        <f t="shared" ca="1" si="18"/>
        <v>3</v>
      </c>
      <c r="Q67" s="304">
        <f t="shared" ca="1" si="19"/>
        <v>783.25</v>
      </c>
      <c r="R67" s="306">
        <f t="shared" ca="1" si="20"/>
        <v>0.39307668203481394</v>
      </c>
      <c r="S67" s="307">
        <f t="shared" ca="1" si="21"/>
        <v>5.7722915726035646</v>
      </c>
      <c r="T67" s="304">
        <f t="shared" ca="1" si="1"/>
        <v>56.626180327240974</v>
      </c>
      <c r="U67" s="311">
        <f t="shared" ca="1" si="2"/>
        <v>0</v>
      </c>
      <c r="V67" s="306">
        <f t="shared" ca="1" si="3"/>
        <v>1.2147438802891151</v>
      </c>
      <c r="W67" s="304">
        <f t="shared" ca="1" si="4"/>
        <v>116.22012515250691</v>
      </c>
      <c r="Y67" s="314" t="str">
        <f t="shared" ca="1" si="22"/>
        <v/>
      </c>
      <c r="Z67" s="315" t="str">
        <f t="shared" ca="1" si="23"/>
        <v/>
      </c>
      <c r="AA67" s="316" t="str">
        <f t="shared" ca="1" si="24"/>
        <v/>
      </c>
      <c r="AC67" s="310" t="e">
        <f t="shared" ca="1" si="25"/>
        <v>#N/A</v>
      </c>
      <c r="AD67" s="323" t="e">
        <f t="shared" ca="1" si="26"/>
        <v>#N/A</v>
      </c>
      <c r="AE67" s="324">
        <f t="shared" ca="1" si="5"/>
        <v>84.075380155637333</v>
      </c>
      <c r="AG67" s="306">
        <f t="shared" ca="1" si="27"/>
        <v>106.15403741059708</v>
      </c>
      <c r="AH67" s="304">
        <f t="shared" ca="1" si="28"/>
        <v>115.80201370406832</v>
      </c>
    </row>
    <row r="68" spans="1:34" x14ac:dyDescent="0.2">
      <c r="A68" s="347">
        <f t="shared" ca="1" si="6"/>
        <v>0.01</v>
      </c>
      <c r="B68" s="304">
        <f t="shared" ca="1" si="7"/>
        <v>0.64000000000000035</v>
      </c>
      <c r="D68" s="306">
        <f t="shared" ca="1" si="8"/>
        <v>20.904341888555805</v>
      </c>
      <c r="E68" s="307">
        <f t="shared" ca="1" si="9"/>
        <v>103.712621928285</v>
      </c>
      <c r="F68" s="304">
        <f t="shared" ca="1" si="10"/>
        <v>105.79839061645981</v>
      </c>
      <c r="G68" s="306">
        <f t="shared" ca="1" si="11"/>
        <v>31.307593433890855</v>
      </c>
      <c r="H68" s="307">
        <f t="shared" ca="1" si="12"/>
        <v>169.92017236789371</v>
      </c>
      <c r="I68" s="304">
        <f t="shared" ca="1" si="13"/>
        <v>172.78029512695167</v>
      </c>
      <c r="J68" s="306">
        <f t="shared" ca="1" si="14"/>
        <v>15.500806231631787</v>
      </c>
      <c r="K68" s="307">
        <f t="shared" ca="1" si="15"/>
        <v>85.769396248219863</v>
      </c>
      <c r="L68" s="304">
        <f t="shared" ref="L68:L131" ca="1" si="29">SQRT(pos_x^2+pos_z^2)</f>
        <v>87.158845372198144</v>
      </c>
      <c r="M68" s="306">
        <f t="shared" ca="1" si="16"/>
        <v>1.388590967269173</v>
      </c>
      <c r="N68" s="304">
        <f t="shared" ca="1" si="17"/>
        <v>79.560401894512253</v>
      </c>
      <c r="P68" s="310">
        <f t="shared" ca="1" si="18"/>
        <v>3</v>
      </c>
      <c r="Q68" s="304">
        <f t="shared" ca="1" si="19"/>
        <v>782.06999999999994</v>
      </c>
      <c r="R68" s="306">
        <f t="shared" ca="1" si="20"/>
        <v>0.39248449501304422</v>
      </c>
      <c r="S68" s="307">
        <f t="shared" ca="1" si="21"/>
        <v>5.7683667276534338</v>
      </c>
      <c r="T68" s="304">
        <f t="shared" ref="T68:T131" ca="1" si="30">m*g</f>
        <v>56.587677598280187</v>
      </c>
      <c r="U68" s="311">
        <f t="shared" ref="U68:U131" ca="1" si="31">IF(pos_xz&lt;L_rampe,Poids*COS(Beta),0)</f>
        <v>0</v>
      </c>
      <c r="V68" s="306">
        <f t="shared" ref="V68:V131" ca="1" si="32">Rho_moyen*(20000-Alt_rampe-pos_z)/(20000+Alt_rampe+pos_z)</f>
        <v>1.2145381144399983</v>
      </c>
      <c r="W68" s="304">
        <f t="shared" ref="W68:W131" ca="1" si="33">1/2*Rho*Sref*Cx*vit_xz^2</f>
        <v>117.63647173520259</v>
      </c>
      <c r="Y68" s="314" t="str">
        <f t="shared" ca="1" si="22"/>
        <v/>
      </c>
      <c r="Z68" s="315" t="str">
        <f t="shared" ca="1" si="23"/>
        <v/>
      </c>
      <c r="AA68" s="316" t="str">
        <f t="shared" ca="1" si="24"/>
        <v/>
      </c>
      <c r="AC68" s="310" t="e">
        <f t="shared" ca="1" si="25"/>
        <v>#N/A</v>
      </c>
      <c r="AD68" s="323" t="e">
        <f t="shared" ca="1" si="26"/>
        <v>#N/A</v>
      </c>
      <c r="AE68" s="324">
        <f t="shared" ref="AE68:AE131" ca="1" si="34">IF(t&lt;T_para, pos_z, NA())</f>
        <v>85.769396248219863</v>
      </c>
      <c r="AG68" s="306">
        <f t="shared" ca="1" si="27"/>
        <v>105.78347347334608</v>
      </c>
      <c r="AH68" s="304">
        <f t="shared" ca="1" si="28"/>
        <v>115.43126612519661</v>
      </c>
    </row>
    <row r="69" spans="1:34" x14ac:dyDescent="0.2">
      <c r="A69" s="347">
        <f t="shared" ref="A69:A132" ca="1" si="35">IF(B68+0.01&lt;=T_ini+ROUNDUP(Temps_fin_propu,0), 0.01, IF(K68&gt;0, 0.1, 0.0001))</f>
        <v>0.01</v>
      </c>
      <c r="B69" s="304">
        <f t="shared" ref="B69:B132" ca="1" si="36">B68+pas</f>
        <v>0.65000000000000036</v>
      </c>
      <c r="D69" s="306">
        <f t="shared" ref="D69:D132" ca="1" si="37">IF(AND(L68&lt;L_rampe,Poussee&lt;Poids*SIN(M68)),0,(-W68+Poussee)/m*COS(M68)-U68/m*SIN(M68))</f>
        <v>20.848620864166659</v>
      </c>
      <c r="E69" s="307">
        <f t="shared" ref="E69:E132" ca="1" si="38">IF(AND(L68&lt;L_rampe,Poussee&lt;Poids*SIN(M68)),0,(-W68+Poussee)/m*SIN(M68)+U68/m*COS(M68)-Poids/m)</f>
        <v>103.34469706582929</v>
      </c>
      <c r="F69" s="304">
        <f t="shared" ref="F69:F132" ca="1" si="39">SQRT(acc_x^2+acc_z^2)</f>
        <v>105.4267110535361</v>
      </c>
      <c r="G69" s="306">
        <f t="shared" ref="G69:G132" ca="1" si="40">G68+acc_x*pas</f>
        <v>31.516079642532521</v>
      </c>
      <c r="H69" s="307">
        <f t="shared" ref="H69:H132" ca="1" si="41">H68+acc_z*pas</f>
        <v>170.95361933855202</v>
      </c>
      <c r="I69" s="304">
        <f t="shared" ref="I69:I132" ca="1" si="42">SQRT(vit_x^2+vit_z^2)</f>
        <v>173.83441328167734</v>
      </c>
      <c r="J69" s="306">
        <f t="shared" ref="J69:J132" ca="1" si="43">J68+0.5*(vit_x+G68)*pas*(K68&gt;=0)</f>
        <v>15.814924597013903</v>
      </c>
      <c r="K69" s="307">
        <f t="shared" ref="K69:K132" ca="1" si="44">K68+0.5*(vit_z+H68)*pas</f>
        <v>87.473765206752091</v>
      </c>
      <c r="L69" s="304">
        <f t="shared" ca="1" si="29"/>
        <v>88.891908740082911</v>
      </c>
      <c r="M69" s="306">
        <f t="shared" ref="M69:M132" ca="1" si="45">IF(AND(L68&gt;L_rampe,G69&gt;0),ATAN2(G69,H69),$M$4)</f>
        <v>1.3884887112866697</v>
      </c>
      <c r="N69" s="304">
        <f t="shared" ref="N69:N132" ca="1" si="46">DEGREES(Beta)</f>
        <v>79.55454305828485</v>
      </c>
      <c r="P69" s="310">
        <f t="shared" ref="P69:P132" ca="1" si="47">MATCH(t-pas/2-T_ini,CdP_t)</f>
        <v>3</v>
      </c>
      <c r="Q69" s="304">
        <f t="shared" ref="Q69:Q132" ca="1" si="48">(INDEX(CdP,2,i_P+1)-INDEX(CdP,2,i_P+0))/(INDEX(CdP,1,i_P+1)-INDEX(CdP,1,i_P+0))*(t-pas/2-T_ini-INDEX(CdP,1,i_P+0))+INDEX(CdP,2,i_P+0)</f>
        <v>780.89</v>
      </c>
      <c r="R69" s="306">
        <f t="shared" ref="R69:R132" ca="1" si="49">Poussee/(g*ISP)</f>
        <v>0.39189230799127461</v>
      </c>
      <c r="S69" s="307">
        <f t="shared" ref="S69:S132" ca="1" si="50">S68-Débit*pas</f>
        <v>5.7644478045735212</v>
      </c>
      <c r="T69" s="304">
        <f t="shared" ca="1" si="30"/>
        <v>56.549232962866249</v>
      </c>
      <c r="U69" s="311">
        <f t="shared" ca="1" si="31"/>
        <v>0</v>
      </c>
      <c r="V69" s="306">
        <f t="shared" ca="1" si="32"/>
        <v>1.2143311260907408</v>
      </c>
      <c r="W69" s="304">
        <f t="shared" ca="1" si="33"/>
        <v>119.05593725395462</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87.473765206752091</v>
      </c>
      <c r="AG69" s="306">
        <f t="shared" ref="AG69:AG132" ca="1" si="56">IF(AND(L68&lt;L_rampe,Poussee&lt;Poids*SIN(M68)),0,(-W68+Poussee)/m-Poids*SIN(M68)/m)</f>
        <v>105.4117245894501</v>
      </c>
      <c r="AH69" s="304">
        <f t="shared" ref="AH69:AH132" ca="1" si="57">IF(AND(L68&lt;L_rampe,Poussee&lt;Poids*SIN(M68)), g*SIN(M68), (-W68+Poussee)/m)</f>
        <v>115.05933451918345</v>
      </c>
    </row>
    <row r="70" spans="1:34" x14ac:dyDescent="0.2">
      <c r="A70" s="347">
        <f t="shared" ca="1" si="35"/>
        <v>0.01</v>
      </c>
      <c r="B70" s="304">
        <f t="shared" ca="1" si="36"/>
        <v>0.66000000000000036</v>
      </c>
      <c r="D70" s="306">
        <f t="shared" ca="1" si="37"/>
        <v>20.792549228865369</v>
      </c>
      <c r="E70" s="307">
        <f t="shared" ca="1" si="38"/>
        <v>102.9756505716052</v>
      </c>
      <c r="F70" s="304">
        <f t="shared" ca="1" si="39"/>
        <v>105.05386577408812</v>
      </c>
      <c r="G70" s="306">
        <f t="shared" ca="1" si="40"/>
        <v>31.724005134821173</v>
      </c>
      <c r="H70" s="307">
        <f t="shared" ca="1" si="41"/>
        <v>171.98337584426807</v>
      </c>
      <c r="I70" s="304">
        <f t="shared" ca="1" si="42"/>
        <v>174.8848022802008</v>
      </c>
      <c r="J70" s="306">
        <f t="shared" ca="1" si="43"/>
        <v>16.131125020900672</v>
      </c>
      <c r="K70" s="307">
        <f t="shared" ca="1" si="44"/>
        <v>89.188450182666188</v>
      </c>
      <c r="L70" s="304">
        <f t="shared" ca="1" si="29"/>
        <v>90.635494374035702</v>
      </c>
      <c r="M70" s="306">
        <f t="shared" ca="1" si="45"/>
        <v>1.3883870130621463</v>
      </c>
      <c r="N70" s="304">
        <f t="shared" ca="1" si="46"/>
        <v>79.548716179235683</v>
      </c>
      <c r="P70" s="310">
        <f t="shared" ca="1" si="47"/>
        <v>3</v>
      </c>
      <c r="Q70" s="304">
        <f t="shared" ca="1" si="48"/>
        <v>779.70999999999992</v>
      </c>
      <c r="R70" s="306">
        <f t="shared" ca="1" si="49"/>
        <v>0.39130012096950489</v>
      </c>
      <c r="S70" s="307">
        <f t="shared" ca="1" si="50"/>
        <v>5.760534803363826</v>
      </c>
      <c r="T70" s="304">
        <f t="shared" ca="1" si="30"/>
        <v>56.510846420999137</v>
      </c>
      <c r="U70" s="311">
        <f t="shared" ca="1" si="31"/>
        <v>0</v>
      </c>
      <c r="V70" s="306">
        <f t="shared" ca="1" si="32"/>
        <v>1.2141229203464643</v>
      </c>
      <c r="W70" s="304">
        <f t="shared" ca="1" si="33"/>
        <v>120.47840727554967</v>
      </c>
      <c r="Y70" s="314" t="str">
        <f t="shared" ca="1" si="51"/>
        <v/>
      </c>
      <c r="Z70" s="315" t="str">
        <f t="shared" ca="1" si="52"/>
        <v/>
      </c>
      <c r="AA70" s="316" t="str">
        <f t="shared" ca="1" si="53"/>
        <v/>
      </c>
      <c r="AC70" s="310" t="e">
        <f t="shared" ca="1" si="54"/>
        <v>#N/A</v>
      </c>
      <c r="AD70" s="323" t="e">
        <f t="shared" ca="1" si="55"/>
        <v>#N/A</v>
      </c>
      <c r="AE70" s="324">
        <f t="shared" ca="1" si="34"/>
        <v>89.188450182666188</v>
      </c>
      <c r="AG70" s="306">
        <f t="shared" ca="1" si="56"/>
        <v>105.03880941479113</v>
      </c>
      <c r="AH70" s="304">
        <f t="shared" ca="1" si="57"/>
        <v>114.68623752785257</v>
      </c>
    </row>
    <row r="71" spans="1:34" x14ac:dyDescent="0.2">
      <c r="A71" s="347">
        <f t="shared" ca="1" si="35"/>
        <v>0.01</v>
      </c>
      <c r="B71" s="304">
        <f t="shared" ca="1" si="36"/>
        <v>0.67000000000000037</v>
      </c>
      <c r="D71" s="306">
        <f t="shared" ca="1" si="37"/>
        <v>20.736131620062945</v>
      </c>
      <c r="E71" s="307">
        <f t="shared" ca="1" si="38"/>
        <v>102.60550059059399</v>
      </c>
      <c r="F71" s="304">
        <f t="shared" ca="1" si="39"/>
        <v>104.67987345240229</v>
      </c>
      <c r="G71" s="306">
        <f t="shared" ca="1" si="40"/>
        <v>31.931366451021802</v>
      </c>
      <c r="H71" s="307">
        <f t="shared" ca="1" si="41"/>
        <v>173.009430850174</v>
      </c>
      <c r="I71" s="304">
        <f t="shared" ca="1" si="42"/>
        <v>175.93145064635425</v>
      </c>
      <c r="J71" s="306">
        <f t="shared" ca="1" si="43"/>
        <v>16.449401878829889</v>
      </c>
      <c r="K71" s="307">
        <f t="shared" ca="1" si="44"/>
        <v>90.913414216138392</v>
      </c>
      <c r="L71" s="304">
        <f t="shared" ca="1" si="29"/>
        <v>92.389564922703286</v>
      </c>
      <c r="M71" s="306">
        <f t="shared" ca="1" si="45"/>
        <v>1.3882858640919453</v>
      </c>
      <c r="N71" s="304">
        <f t="shared" ca="1" si="46"/>
        <v>79.542920770141066</v>
      </c>
      <c r="P71" s="310">
        <f t="shared" ca="1" si="47"/>
        <v>3</v>
      </c>
      <c r="Q71" s="304">
        <f t="shared" ca="1" si="48"/>
        <v>778.53</v>
      </c>
      <c r="R71" s="306">
        <f t="shared" ca="1" si="49"/>
        <v>0.39070793394773529</v>
      </c>
      <c r="S71" s="307">
        <f t="shared" ca="1" si="50"/>
        <v>5.7566277240243489</v>
      </c>
      <c r="T71" s="304">
        <f t="shared" ca="1" si="30"/>
        <v>56.472517972678865</v>
      </c>
      <c r="U71" s="311">
        <f t="shared" ca="1" si="31"/>
        <v>0</v>
      </c>
      <c r="V71" s="306">
        <f t="shared" ca="1" si="32"/>
        <v>1.2139135023262839</v>
      </c>
      <c r="W71" s="304">
        <f t="shared" ca="1" si="33"/>
        <v>121.90376764564137</v>
      </c>
      <c r="Y71" s="314" t="str">
        <f t="shared" ca="1" si="51"/>
        <v/>
      </c>
      <c r="Z71" s="315" t="str">
        <f t="shared" ca="1" si="52"/>
        <v/>
      </c>
      <c r="AA71" s="316" t="str">
        <f t="shared" ca="1" si="53"/>
        <v/>
      </c>
      <c r="AC71" s="310" t="e">
        <f t="shared" ca="1" si="54"/>
        <v>#N/A</v>
      </c>
      <c r="AD71" s="323" t="e">
        <f t="shared" ca="1" si="55"/>
        <v>#N/A</v>
      </c>
      <c r="AE71" s="324">
        <f t="shared" ca="1" si="34"/>
        <v>90.913414216138392</v>
      </c>
      <c r="AG71" s="306">
        <f t="shared" ca="1" si="56"/>
        <v>104.66474661660682</v>
      </c>
      <c r="AH71" s="304">
        <f t="shared" ca="1" si="57"/>
        <v>114.31199380466781</v>
      </c>
    </row>
    <row r="72" spans="1:34" x14ac:dyDescent="0.2">
      <c r="A72" s="347">
        <f t="shared" ca="1" si="35"/>
        <v>0.01</v>
      </c>
      <c r="B72" s="304">
        <f t="shared" ca="1" si="36"/>
        <v>0.68000000000000038</v>
      </c>
      <c r="D72" s="306">
        <f t="shared" ca="1" si="37"/>
        <v>20.679372655109397</v>
      </c>
      <c r="E72" s="307">
        <f t="shared" ca="1" si="38"/>
        <v>102.23426528024888</v>
      </c>
      <c r="F72" s="304">
        <f t="shared" ca="1" si="39"/>
        <v>104.30475277187128</v>
      </c>
      <c r="G72" s="306">
        <f t="shared" ca="1" si="40"/>
        <v>32.138160177572892</v>
      </c>
      <c r="H72" s="307">
        <f t="shared" ca="1" si="41"/>
        <v>174.03177350297648</v>
      </c>
      <c r="I72" s="304">
        <f t="shared" ca="1" si="42"/>
        <v>176.9743470907313</v>
      </c>
      <c r="J72" s="306">
        <f t="shared" ca="1" si="43"/>
        <v>16.769749511972861</v>
      </c>
      <c r="K72" s="307">
        <f t="shared" ca="1" si="44"/>
        <v>92.64862023790414</v>
      </c>
      <c r="L72" s="304">
        <f t="shared" ca="1" si="29"/>
        <v>94.154082920931756</v>
      </c>
      <c r="M72" s="306">
        <f t="shared" ca="1" si="45"/>
        <v>1.3881852560470431</v>
      </c>
      <c r="N72" s="304">
        <f t="shared" ca="1" si="46"/>
        <v>79.537156353783118</v>
      </c>
      <c r="P72" s="310">
        <f t="shared" ca="1" si="47"/>
        <v>3</v>
      </c>
      <c r="Q72" s="304">
        <f t="shared" ca="1" si="48"/>
        <v>777.34999999999991</v>
      </c>
      <c r="R72" s="306">
        <f t="shared" ca="1" si="49"/>
        <v>0.39011574692596562</v>
      </c>
      <c r="S72" s="307">
        <f t="shared" ca="1" si="50"/>
        <v>5.7527265665550891</v>
      </c>
      <c r="T72" s="304">
        <f t="shared" ca="1" si="30"/>
        <v>56.434247617905427</v>
      </c>
      <c r="U72" s="311">
        <f t="shared" ca="1" si="31"/>
        <v>0</v>
      </c>
      <c r="V72" s="306">
        <f t="shared" ca="1" si="32"/>
        <v>1.2137028771630318</v>
      </c>
      <c r="W72" s="304">
        <f t="shared" ca="1" si="33"/>
        <v>123.33190450109183</v>
      </c>
      <c r="Y72" s="314" t="str">
        <f t="shared" ca="1" si="51"/>
        <v/>
      </c>
      <c r="Z72" s="315" t="str">
        <f t="shared" ca="1" si="52"/>
        <v/>
      </c>
      <c r="AA72" s="316" t="str">
        <f t="shared" ca="1" si="53"/>
        <v/>
      </c>
      <c r="AC72" s="310" t="e">
        <f t="shared" ca="1" si="54"/>
        <v>#N/A</v>
      </c>
      <c r="AD72" s="323" t="e">
        <f t="shared" ca="1" si="55"/>
        <v>#N/A</v>
      </c>
      <c r="AE72" s="324">
        <f t="shared" ca="1" si="34"/>
        <v>92.64862023790414</v>
      </c>
      <c r="AG72" s="306">
        <f t="shared" ca="1" si="56"/>
        <v>104.28955487117912</v>
      </c>
      <c r="AH72" s="304">
        <f t="shared" ca="1" si="57"/>
        <v>113.93662201241386</v>
      </c>
    </row>
    <row r="73" spans="1:34" x14ac:dyDescent="0.2">
      <c r="A73" s="347">
        <f t="shared" ca="1" si="35"/>
        <v>0.01</v>
      </c>
      <c r="B73" s="304">
        <f t="shared" ca="1" si="36"/>
        <v>0.69000000000000039</v>
      </c>
      <c r="D73" s="306">
        <f t="shared" ca="1" si="37"/>
        <v>20.622276931573495</v>
      </c>
      <c r="E73" s="307">
        <f t="shared" ca="1" si="38"/>
        <v>101.86196280811785</v>
      </c>
      <c r="F73" s="304">
        <f t="shared" ca="1" si="39"/>
        <v>103.92852242269632</v>
      </c>
      <c r="G73" s="306">
        <f t="shared" ca="1" si="40"/>
        <v>32.344382946888629</v>
      </c>
      <c r="H73" s="307">
        <f t="shared" ca="1" si="41"/>
        <v>175.05039313105766</v>
      </c>
      <c r="I73" s="304">
        <f t="shared" ca="1" si="42"/>
        <v>178.01348051075462</v>
      </c>
      <c r="J73" s="306">
        <f t="shared" ca="1" si="43"/>
        <v>17.092162227595168</v>
      </c>
      <c r="K73" s="307">
        <f t="shared" ca="1" si="44"/>
        <v>94.394031071074309</v>
      </c>
      <c r="L73" s="304">
        <f t="shared" ca="1" si="29"/>
        <v>95.929010791633686</v>
      </c>
      <c r="M73" s="306">
        <f t="shared" ca="1" si="45"/>
        <v>1.3880851807682342</v>
      </c>
      <c r="N73" s="304">
        <f t="shared" ca="1" si="46"/>
        <v>79.53142246267376</v>
      </c>
      <c r="P73" s="310">
        <f t="shared" ca="1" si="47"/>
        <v>3</v>
      </c>
      <c r="Q73" s="304">
        <f t="shared" ca="1" si="48"/>
        <v>776.17</v>
      </c>
      <c r="R73" s="306">
        <f t="shared" ca="1" si="49"/>
        <v>0.38952355990419596</v>
      </c>
      <c r="S73" s="307">
        <f t="shared" ca="1" si="50"/>
        <v>5.7488313309560475</v>
      </c>
      <c r="T73" s="304">
        <f t="shared" ca="1" si="30"/>
        <v>56.39603535667883</v>
      </c>
      <c r="U73" s="311">
        <f t="shared" ca="1" si="31"/>
        <v>0</v>
      </c>
      <c r="V73" s="306">
        <f t="shared" ca="1" si="32"/>
        <v>1.2134910500029741</v>
      </c>
      <c r="W73" s="304">
        <f t="shared" ca="1" si="33"/>
        <v>124.76270428218719</v>
      </c>
      <c r="Y73" s="314" t="str">
        <f t="shared" ca="1" si="51"/>
        <v/>
      </c>
      <c r="Z73" s="315" t="str">
        <f t="shared" ca="1" si="52"/>
        <v/>
      </c>
      <c r="AA73" s="316" t="str">
        <f t="shared" ca="1" si="53"/>
        <v/>
      </c>
      <c r="AC73" s="310" t="e">
        <f t="shared" ca="1" si="54"/>
        <v>#N/A</v>
      </c>
      <c r="AD73" s="323" t="e">
        <f t="shared" ca="1" si="55"/>
        <v>#N/A</v>
      </c>
      <c r="AE73" s="324">
        <f t="shared" ca="1" si="34"/>
        <v>94.394031071074309</v>
      </c>
      <c r="AG73" s="306">
        <f t="shared" ca="1" si="56"/>
        <v>103.91325286153462</v>
      </c>
      <c r="AH73" s="304">
        <f t="shared" ca="1" si="57"/>
        <v>113.56014082088912</v>
      </c>
    </row>
    <row r="74" spans="1:34" x14ac:dyDescent="0.2">
      <c r="A74" s="347">
        <f t="shared" ca="1" si="35"/>
        <v>0.01</v>
      </c>
      <c r="B74" s="304">
        <f t="shared" ca="1" si="36"/>
        <v>0.7000000000000004</v>
      </c>
      <c r="D74" s="306">
        <f t="shared" ca="1" si="37"/>
        <v>20.564849027499172</v>
      </c>
      <c r="E74" s="307">
        <f t="shared" ca="1" si="38"/>
        <v>101.48861134948223</v>
      </c>
      <c r="F74" s="304">
        <f t="shared" ca="1" si="39"/>
        <v>103.55120109960139</v>
      </c>
      <c r="G74" s="306">
        <f t="shared" ca="1" si="40"/>
        <v>32.550031437163618</v>
      </c>
      <c r="H74" s="307">
        <f t="shared" ca="1" si="41"/>
        <v>176.06527924455247</v>
      </c>
      <c r="I74" s="304">
        <f t="shared" ca="1" si="42"/>
        <v>179.04883999072035</v>
      </c>
      <c r="J74" s="306">
        <f t="shared" ca="1" si="43"/>
        <v>17.41663429951543</v>
      </c>
      <c r="K74" s="307">
        <f t="shared" ca="1" si="44"/>
        <v>96.14960943295236</v>
      </c>
      <c r="L74" s="304">
        <f t="shared" ca="1" si="29"/>
        <v>97.71431084765598</v>
      </c>
      <c r="M74" s="306">
        <f t="shared" ca="1" si="45"/>
        <v>1.3879856302614826</v>
      </c>
      <c r="N74" s="304">
        <f t="shared" ca="1" si="46"/>
        <v>79.525718638788504</v>
      </c>
      <c r="P74" s="310">
        <f t="shared" ca="1" si="47"/>
        <v>3</v>
      </c>
      <c r="Q74" s="304">
        <f t="shared" ca="1" si="48"/>
        <v>774.99</v>
      </c>
      <c r="R74" s="306">
        <f t="shared" ca="1" si="49"/>
        <v>0.38893137288242635</v>
      </c>
      <c r="S74" s="307">
        <f t="shared" ca="1" si="50"/>
        <v>5.7449420172272232</v>
      </c>
      <c r="T74" s="304">
        <f t="shared" ca="1" si="30"/>
        <v>56.357881188999059</v>
      </c>
      <c r="U74" s="311">
        <f t="shared" ca="1" si="31"/>
        <v>0</v>
      </c>
      <c r="V74" s="306">
        <f t="shared" ca="1" si="32"/>
        <v>1.2132780260055311</v>
      </c>
      <c r="W74" s="304">
        <f t="shared" ca="1" si="33"/>
        <v>126.19605374472606</v>
      </c>
      <c r="Y74" s="314" t="str">
        <f t="shared" ca="1" si="51"/>
        <v/>
      </c>
      <c r="Z74" s="315" t="str">
        <f t="shared" ca="1" si="52"/>
        <v/>
      </c>
      <c r="AA74" s="316" t="str">
        <f t="shared" ca="1" si="53"/>
        <v/>
      </c>
      <c r="AC74" s="310" t="e">
        <f t="shared" ca="1" si="54"/>
        <v>#N/A</v>
      </c>
      <c r="AD74" s="323" t="e">
        <f t="shared" ca="1" si="55"/>
        <v>#N/A</v>
      </c>
      <c r="AE74" s="324">
        <f t="shared" ca="1" si="34"/>
        <v>96.14960943295236</v>
      </c>
      <c r="AG74" s="306">
        <f t="shared" ca="1" si="56"/>
        <v>103.53585927515685</v>
      </c>
      <c r="AH74" s="304">
        <f t="shared" ca="1" si="57"/>
        <v>113.1825689046106</v>
      </c>
    </row>
    <row r="75" spans="1:34" x14ac:dyDescent="0.2">
      <c r="A75" s="347">
        <f t="shared" ca="1" si="35"/>
        <v>0.01</v>
      </c>
      <c r="B75" s="304">
        <f t="shared" ca="1" si="36"/>
        <v>0.71000000000000041</v>
      </c>
      <c r="D75" s="306">
        <f t="shared" ca="1" si="37"/>
        <v>20.507093501639286</v>
      </c>
      <c r="E75" s="307">
        <f t="shared" ca="1" si="38"/>
        <v>101.11422908501164</v>
      </c>
      <c r="F75" s="304">
        <f t="shared" ca="1" si="39"/>
        <v>103.17280749955965</v>
      </c>
      <c r="G75" s="306">
        <f t="shared" ca="1" si="40"/>
        <v>32.755102372180012</v>
      </c>
      <c r="H75" s="307">
        <f t="shared" ca="1" si="41"/>
        <v>177.07642153540257</v>
      </c>
      <c r="I75" s="304">
        <f t="shared" ca="1" si="42"/>
        <v>180.08041480182007</v>
      </c>
      <c r="J75" s="306">
        <f t="shared" ca="1" si="43"/>
        <v>17.743159968562146</v>
      </c>
      <c r="K75" s="307">
        <f t="shared" ca="1" si="44"/>
        <v>97.915317936852134</v>
      </c>
      <c r="L75" s="304">
        <f t="shared" ca="1" si="29"/>
        <v>99.509945293648016</v>
      </c>
      <c r="M75" s="306">
        <f t="shared" ca="1" si="45"/>
        <v>1.3878865966934308</v>
      </c>
      <c r="N75" s="304">
        <f t="shared" ca="1" si="46"/>
        <v>79.520044433309025</v>
      </c>
      <c r="P75" s="310">
        <f t="shared" ca="1" si="47"/>
        <v>3</v>
      </c>
      <c r="Q75" s="304">
        <f t="shared" ca="1" si="48"/>
        <v>773.81</v>
      </c>
      <c r="R75" s="306">
        <f t="shared" ca="1" si="49"/>
        <v>0.38833918586065669</v>
      </c>
      <c r="S75" s="307">
        <f t="shared" ca="1" si="50"/>
        <v>5.7410586253686162</v>
      </c>
      <c r="T75" s="304">
        <f t="shared" ca="1" si="30"/>
        <v>56.319785114866129</v>
      </c>
      <c r="U75" s="311">
        <f t="shared" ca="1" si="31"/>
        <v>0</v>
      </c>
      <c r="V75" s="306">
        <f t="shared" ca="1" si="32"/>
        <v>1.2130638103429967</v>
      </c>
      <c r="W75" s="304">
        <f t="shared" ca="1" si="33"/>
        <v>127.63183997197869</v>
      </c>
      <c r="Y75" s="314" t="str">
        <f t="shared" ca="1" si="51"/>
        <v/>
      </c>
      <c r="Z75" s="315" t="str">
        <f t="shared" ca="1" si="52"/>
        <v/>
      </c>
      <c r="AA75" s="316" t="str">
        <f t="shared" ca="1" si="53"/>
        <v/>
      </c>
      <c r="AC75" s="310" t="e">
        <f t="shared" ca="1" si="54"/>
        <v>#N/A</v>
      </c>
      <c r="AD75" s="323" t="e">
        <f t="shared" ca="1" si="55"/>
        <v>#N/A</v>
      </c>
      <c r="AE75" s="324">
        <f t="shared" ca="1" si="34"/>
        <v>97.915317936852134</v>
      </c>
      <c r="AG75" s="306">
        <f t="shared" ca="1" si="56"/>
        <v>103.157392801711</v>
      </c>
      <c r="AH75" s="304">
        <f t="shared" ca="1" si="57"/>
        <v>112.80392494053176</v>
      </c>
    </row>
    <row r="76" spans="1:34" x14ac:dyDescent="0.2">
      <c r="A76" s="347">
        <f t="shared" ca="1" si="35"/>
        <v>0.01</v>
      </c>
      <c r="B76" s="304">
        <f t="shared" ca="1" si="36"/>
        <v>0.72000000000000042</v>
      </c>
      <c r="D76" s="306">
        <f t="shared" ca="1" si="37"/>
        <v>20.449014893668263</v>
      </c>
      <c r="E76" s="307">
        <f t="shared" ca="1" si="38"/>
        <v>100.73883419843602</v>
      </c>
      <c r="F76" s="304">
        <f t="shared" ca="1" si="39"/>
        <v>102.79336031953353</v>
      </c>
      <c r="G76" s="306">
        <f t="shared" ca="1" si="40"/>
        <v>32.959592521116697</v>
      </c>
      <c r="H76" s="307">
        <f t="shared" ca="1" si="41"/>
        <v>178.08380987738693</v>
      </c>
      <c r="I76" s="304">
        <f t="shared" ca="1" si="42"/>
        <v>181.10819440214001</v>
      </c>
      <c r="J76" s="306">
        <f t="shared" ca="1" si="43"/>
        <v>18.071733443028631</v>
      </c>
      <c r="K76" s="307">
        <f t="shared" ca="1" si="44"/>
        <v>99.691119093916086</v>
      </c>
      <c r="L76" s="304">
        <f t="shared" ca="1" si="29"/>
        <v>101.31587622793003</v>
      </c>
      <c r="M76" s="306">
        <f t="shared" ca="1" si="45"/>
        <v>1.3877880723870615</v>
      </c>
      <c r="N76" s="304">
        <f t="shared" ca="1" si="46"/>
        <v>79.514399406374608</v>
      </c>
      <c r="P76" s="310">
        <f t="shared" ca="1" si="47"/>
        <v>3</v>
      </c>
      <c r="Q76" s="304">
        <f t="shared" ca="1" si="48"/>
        <v>772.63</v>
      </c>
      <c r="R76" s="306">
        <f t="shared" ca="1" si="49"/>
        <v>0.38774699883888702</v>
      </c>
      <c r="S76" s="307">
        <f t="shared" ca="1" si="50"/>
        <v>5.7371811553802274</v>
      </c>
      <c r="T76" s="304">
        <f t="shared" ca="1" si="30"/>
        <v>56.281747134280032</v>
      </c>
      <c r="U76" s="311">
        <f t="shared" ca="1" si="31"/>
        <v>0</v>
      </c>
      <c r="V76" s="306">
        <f t="shared" ca="1" si="32"/>
        <v>1.2128484082002595</v>
      </c>
      <c r="W76" s="304">
        <f t="shared" ca="1" si="33"/>
        <v>129.06995038651561</v>
      </c>
      <c r="Y76" s="314" t="str">
        <f t="shared" ca="1" si="51"/>
        <v/>
      </c>
      <c r="Z76" s="315" t="str">
        <f t="shared" ca="1" si="52"/>
        <v/>
      </c>
      <c r="AA76" s="316" t="str">
        <f t="shared" ca="1" si="53"/>
        <v/>
      </c>
      <c r="AC76" s="310" t="e">
        <f t="shared" ca="1" si="54"/>
        <v>#N/A</v>
      </c>
      <c r="AD76" s="323" t="e">
        <f t="shared" ca="1" si="55"/>
        <v>#N/A</v>
      </c>
      <c r="AE76" s="324">
        <f t="shared" ca="1" si="34"/>
        <v>99.691119093916086</v>
      </c>
      <c r="AG76" s="306">
        <f t="shared" ca="1" si="56"/>
        <v>102.77787213078189</v>
      </c>
      <c r="AH76" s="304">
        <f t="shared" ca="1" si="57"/>
        <v>112.42422760577351</v>
      </c>
    </row>
    <row r="77" spans="1:34" x14ac:dyDescent="0.2">
      <c r="A77" s="347">
        <f t="shared" ca="1" si="35"/>
        <v>0.01</v>
      </c>
      <c r="B77" s="304">
        <f t="shared" ca="1" si="36"/>
        <v>0.73000000000000043</v>
      </c>
      <c r="D77" s="306">
        <f t="shared" ca="1" si="37"/>
        <v>20.390617724374223</v>
      </c>
      <c r="E77" s="307">
        <f t="shared" ca="1" si="38"/>
        <v>100.36244487423373</v>
      </c>
      <c r="F77" s="304">
        <f t="shared" ca="1" si="39"/>
        <v>102.41287825422724</v>
      </c>
      <c r="G77" s="306">
        <f t="shared" ca="1" si="40"/>
        <v>33.163498698360442</v>
      </c>
      <c r="H77" s="307">
        <f t="shared" ca="1" si="41"/>
        <v>179.08743432612926</v>
      </c>
      <c r="I77" s="304">
        <f t="shared" ca="1" si="42"/>
        <v>182.13216843663781</v>
      </c>
      <c r="J77" s="306">
        <f t="shared" ca="1" si="43"/>
        <v>18.402348899126018</v>
      </c>
      <c r="K77" s="307">
        <f t="shared" ca="1" si="44"/>
        <v>101.47697531493367</v>
      </c>
      <c r="L77" s="304">
        <f t="shared" ca="1" si="29"/>
        <v>103.13206564436118</v>
      </c>
      <c r="M77" s="306">
        <f t="shared" ca="1" si="45"/>
        <v>1.3876900498175042</v>
      </c>
      <c r="N77" s="304">
        <f t="shared" ca="1" si="46"/>
        <v>79.508783126841948</v>
      </c>
      <c r="P77" s="310">
        <f t="shared" ca="1" si="47"/>
        <v>3</v>
      </c>
      <c r="Q77" s="304">
        <f t="shared" ca="1" si="48"/>
        <v>771.44999999999993</v>
      </c>
      <c r="R77" s="306">
        <f t="shared" ca="1" si="49"/>
        <v>0.38715481181711736</v>
      </c>
      <c r="S77" s="307">
        <f t="shared" ca="1" si="50"/>
        <v>5.733309607262056</v>
      </c>
      <c r="T77" s="304">
        <f t="shared" ca="1" si="30"/>
        <v>56.243767247240768</v>
      </c>
      <c r="U77" s="311">
        <f t="shared" ca="1" si="31"/>
        <v>0</v>
      </c>
      <c r="V77" s="306">
        <f t="shared" ca="1" si="32"/>
        <v>1.2126318247745231</v>
      </c>
      <c r="W77" s="304">
        <f t="shared" ca="1" si="33"/>
        <v>130.51027276190311</v>
      </c>
      <c r="Y77" s="314" t="str">
        <f t="shared" ca="1" si="51"/>
        <v/>
      </c>
      <c r="Z77" s="315" t="str">
        <f t="shared" ca="1" si="52"/>
        <v/>
      </c>
      <c r="AA77" s="316" t="str">
        <f t="shared" ca="1" si="53"/>
        <v/>
      </c>
      <c r="AC77" s="310" t="e">
        <f t="shared" ca="1" si="54"/>
        <v>#N/A</v>
      </c>
      <c r="AD77" s="323" t="e">
        <f t="shared" ca="1" si="55"/>
        <v>#N/A</v>
      </c>
      <c r="AE77" s="324">
        <f t="shared" ca="1" si="34"/>
        <v>101.47697531493367</v>
      </c>
      <c r="AG77" s="306">
        <f t="shared" ca="1" si="56"/>
        <v>102.3973159496248</v>
      </c>
      <c r="AH77" s="304">
        <f t="shared" ca="1" si="57"/>
        <v>112.04349557536857</v>
      </c>
    </row>
    <row r="78" spans="1:34" x14ac:dyDescent="0.2">
      <c r="A78" s="347">
        <f t="shared" ca="1" si="35"/>
        <v>0.01</v>
      </c>
      <c r="B78" s="304">
        <f t="shared" ca="1" si="36"/>
        <v>0.74000000000000044</v>
      </c>
      <c r="D78" s="306">
        <f t="shared" ca="1" si="37"/>
        <v>20.331906495832001</v>
      </c>
      <c r="E78" s="307">
        <f t="shared" ca="1" si="38"/>
        <v>99.985079295337783</v>
      </c>
      <c r="F78" s="304">
        <f t="shared" ca="1" si="39"/>
        <v>102.03137999385406</v>
      </c>
      <c r="G78" s="306">
        <f t="shared" ca="1" si="40"/>
        <v>33.366817763318764</v>
      </c>
      <c r="H78" s="307">
        <f t="shared" ca="1" si="41"/>
        <v>180.08728511908262</v>
      </c>
      <c r="I78" s="304">
        <f t="shared" ca="1" si="42"/>
        <v>183.15232673709684</v>
      </c>
      <c r="J78" s="306">
        <f t="shared" ca="1" si="43"/>
        <v>18.735000481434415</v>
      </c>
      <c r="K78" s="307">
        <f t="shared" ca="1" si="44"/>
        <v>103.27284891215973</v>
      </c>
      <c r="L78" s="304">
        <f t="shared" ca="1" si="29"/>
        <v>104.9584754342074</v>
      </c>
      <c r="M78" s="306">
        <f t="shared" ca="1" si="45"/>
        <v>1.3875925216079832</v>
      </c>
      <c r="N78" s="304">
        <f t="shared" ca="1" si="46"/>
        <v>79.503195172052926</v>
      </c>
      <c r="P78" s="310">
        <f t="shared" ca="1" si="47"/>
        <v>3</v>
      </c>
      <c r="Q78" s="304">
        <f t="shared" ca="1" si="48"/>
        <v>770.27</v>
      </c>
      <c r="R78" s="306">
        <f t="shared" ca="1" si="49"/>
        <v>0.38656262479534775</v>
      </c>
      <c r="S78" s="307">
        <f t="shared" ca="1" si="50"/>
        <v>5.7294439810141027</v>
      </c>
      <c r="T78" s="304">
        <f t="shared" ca="1" si="30"/>
        <v>56.205845453748353</v>
      </c>
      <c r="U78" s="311">
        <f t="shared" ca="1" si="31"/>
        <v>0</v>
      </c>
      <c r="V78" s="306">
        <f t="shared" ca="1" si="32"/>
        <v>1.2124140652750242</v>
      </c>
      <c r="W78" s="304">
        <f t="shared" ca="1" si="33"/>
        <v>131.95269523426418</v>
      </c>
      <c r="Y78" s="314" t="str">
        <f t="shared" ca="1" si="51"/>
        <v/>
      </c>
      <c r="Z78" s="315" t="str">
        <f t="shared" ca="1" si="52"/>
        <v/>
      </c>
      <c r="AA78" s="316" t="str">
        <f t="shared" ca="1" si="53"/>
        <v/>
      </c>
      <c r="AC78" s="310" t="e">
        <f t="shared" ca="1" si="54"/>
        <v>#N/A</v>
      </c>
      <c r="AD78" s="323" t="e">
        <f t="shared" ca="1" si="55"/>
        <v>#N/A</v>
      </c>
      <c r="AE78" s="324">
        <f t="shared" ca="1" si="34"/>
        <v>103.27284891215973</v>
      </c>
      <c r="AG78" s="306">
        <f t="shared" ca="1" si="56"/>
        <v>102.01574294093072</v>
      </c>
      <c r="AH78" s="304">
        <f t="shared" ca="1" si="57"/>
        <v>111.66174752002033</v>
      </c>
    </row>
    <row r="79" spans="1:34" x14ac:dyDescent="0.2">
      <c r="A79" s="347">
        <f t="shared" ca="1" si="35"/>
        <v>0.01</v>
      </c>
      <c r="B79" s="304">
        <f t="shared" ca="1" si="36"/>
        <v>0.75000000000000044</v>
      </c>
      <c r="D79" s="306">
        <f t="shared" ca="1" si="37"/>
        <v>20.272885691557654</v>
      </c>
      <c r="E79" s="307">
        <f t="shared" ca="1" si="38"/>
        <v>99.606755640858779</v>
      </c>
      <c r="F79" s="304">
        <f t="shared" ca="1" si="39"/>
        <v>101.64888422191713</v>
      </c>
      <c r="G79" s="306">
        <f t="shared" ca="1" si="40"/>
        <v>33.569546620234341</v>
      </c>
      <c r="H79" s="307">
        <f t="shared" ca="1" si="41"/>
        <v>181.0833526754912</v>
      </c>
      <c r="I79" s="304">
        <f t="shared" ca="1" si="42"/>
        <v>184.1686593220584</v>
      </c>
      <c r="J79" s="306">
        <f t="shared" ca="1" si="43"/>
        <v>19.069682303352181</v>
      </c>
      <c r="K79" s="307">
        <f t="shared" ca="1" si="44"/>
        <v>105.07870210113261</v>
      </c>
      <c r="L79" s="304">
        <f t="shared" ca="1" si="29"/>
        <v>106.79506738800885</v>
      </c>
      <c r="M79" s="306">
        <f t="shared" ca="1" si="45"/>
        <v>1.387495480525899</v>
      </c>
      <c r="N79" s="304">
        <f t="shared" ca="1" si="46"/>
        <v>79.49763512761011</v>
      </c>
      <c r="P79" s="310">
        <f t="shared" ca="1" si="47"/>
        <v>3</v>
      </c>
      <c r="Q79" s="304">
        <f t="shared" ca="1" si="48"/>
        <v>769.08999999999992</v>
      </c>
      <c r="R79" s="306">
        <f t="shared" ca="1" si="49"/>
        <v>0.38597043777357803</v>
      </c>
      <c r="S79" s="307">
        <f t="shared" ca="1" si="50"/>
        <v>5.7255842766363667</v>
      </c>
      <c r="T79" s="304">
        <f t="shared" ca="1" si="30"/>
        <v>56.167981753802763</v>
      </c>
      <c r="U79" s="311">
        <f t="shared" ca="1" si="31"/>
        <v>0</v>
      </c>
      <c r="V79" s="306">
        <f t="shared" ca="1" si="32"/>
        <v>1.2121951349227564</v>
      </c>
      <c r="W79" s="304">
        <f t="shared" ca="1" si="33"/>
        <v>133.39710631370403</v>
      </c>
      <c r="Y79" s="314" t="str">
        <f t="shared" ca="1" si="51"/>
        <v/>
      </c>
      <c r="Z79" s="315" t="str">
        <f t="shared" ca="1" si="52"/>
        <v/>
      </c>
      <c r="AA79" s="316" t="str">
        <f t="shared" ca="1" si="53"/>
        <v/>
      </c>
      <c r="AC79" s="310" t="e">
        <f t="shared" ca="1" si="54"/>
        <v>#N/A</v>
      </c>
      <c r="AD79" s="323" t="e">
        <f t="shared" ca="1" si="55"/>
        <v>#N/A</v>
      </c>
      <c r="AE79" s="324">
        <f t="shared" ca="1" si="34"/>
        <v>105.07870210113261</v>
      </c>
      <c r="AG79" s="306">
        <f t="shared" ca="1" si="56"/>
        <v>101.63317178060535</v>
      </c>
      <c r="AH79" s="304">
        <f t="shared" ca="1" si="57"/>
        <v>111.27900210387567</v>
      </c>
    </row>
    <row r="80" spans="1:34" x14ac:dyDescent="0.2">
      <c r="A80" s="347">
        <f t="shared" ca="1" si="35"/>
        <v>0.01</v>
      </c>
      <c r="B80" s="304">
        <f t="shared" ca="1" si="36"/>
        <v>0.76000000000000045</v>
      </c>
      <c r="D80" s="306">
        <f t="shared" ca="1" si="37"/>
        <v>20.213559776645575</v>
      </c>
      <c r="E80" s="307">
        <f t="shared" ca="1" si="38"/>
        <v>99.227492083826178</v>
      </c>
      <c r="F80" s="304">
        <f t="shared" ca="1" si="39"/>
        <v>101.26540961300563</v>
      </c>
      <c r="G80" s="306">
        <f t="shared" ca="1" si="40"/>
        <v>33.771682218000798</v>
      </c>
      <c r="H80" s="307">
        <f t="shared" ca="1" si="41"/>
        <v>182.07562759632947</v>
      </c>
      <c r="I80" s="304">
        <f t="shared" ca="1" si="42"/>
        <v>185.18115639673192</v>
      </c>
      <c r="J80" s="306">
        <f t="shared" ca="1" si="43"/>
        <v>19.406388447543357</v>
      </c>
      <c r="K80" s="307">
        <f t="shared" ca="1" si="44"/>
        <v>106.8944970024917</v>
      </c>
      <c r="L80" s="304">
        <f t="shared" ca="1" si="29"/>
        <v>108.64180319744629</v>
      </c>
      <c r="M80" s="306">
        <f t="shared" ca="1" si="45"/>
        <v>1.3873989194790395</v>
      </c>
      <c r="N80" s="304">
        <f t="shared" ca="1" si="46"/>
        <v>79.492102587159707</v>
      </c>
      <c r="P80" s="310">
        <f t="shared" ca="1" si="47"/>
        <v>3</v>
      </c>
      <c r="Q80" s="304">
        <f t="shared" ca="1" si="48"/>
        <v>767.91</v>
      </c>
      <c r="R80" s="306">
        <f t="shared" ca="1" si="49"/>
        <v>0.38537825075180843</v>
      </c>
      <c r="S80" s="307">
        <f t="shared" ca="1" si="50"/>
        <v>5.7217304941288489</v>
      </c>
      <c r="T80" s="304">
        <f t="shared" ca="1" si="30"/>
        <v>56.130176147404008</v>
      </c>
      <c r="U80" s="311">
        <f t="shared" ca="1" si="31"/>
        <v>0</v>
      </c>
      <c r="V80" s="306">
        <f t="shared" ca="1" si="32"/>
        <v>1.2119750389501895</v>
      </c>
      <c r="W80" s="304">
        <f t="shared" ca="1" si="33"/>
        <v>134.84339489559736</v>
      </c>
      <c r="Y80" s="314" t="str">
        <f t="shared" ca="1" si="51"/>
        <v/>
      </c>
      <c r="Z80" s="315" t="str">
        <f t="shared" ca="1" si="52"/>
        <v/>
      </c>
      <c r="AA80" s="316" t="str">
        <f t="shared" ca="1" si="53"/>
        <v/>
      </c>
      <c r="AC80" s="310" t="e">
        <f t="shared" ca="1" si="54"/>
        <v>#N/A</v>
      </c>
      <c r="AD80" s="323" t="e">
        <f t="shared" ca="1" si="55"/>
        <v>#N/A</v>
      </c>
      <c r="AE80" s="324">
        <f t="shared" ca="1" si="34"/>
        <v>106.8944970024917</v>
      </c>
      <c r="AG80" s="306">
        <f t="shared" ca="1" si="56"/>
        <v>101.24962113556309</v>
      </c>
      <c r="AH80" s="304">
        <f t="shared" ca="1" si="57"/>
        <v>110.89527798231302</v>
      </c>
    </row>
    <row r="81" spans="1:34" x14ac:dyDescent="0.2">
      <c r="A81" s="347">
        <f t="shared" ca="1" si="35"/>
        <v>0.01</v>
      </c>
      <c r="B81" s="304">
        <f t="shared" ca="1" si="36"/>
        <v>0.77000000000000046</v>
      </c>
      <c r="D81" s="306">
        <f t="shared" ca="1" si="37"/>
        <v>20.153933197888993</v>
      </c>
      <c r="E81" s="307">
        <f t="shared" ca="1" si="38"/>
        <v>98.847306788946938</v>
      </c>
      <c r="F81" s="304">
        <f t="shared" ca="1" si="39"/>
        <v>100.88097483060504</v>
      </c>
      <c r="G81" s="306">
        <f t="shared" ca="1" si="40"/>
        <v>33.973221549979691</v>
      </c>
      <c r="H81" s="307">
        <f t="shared" ca="1" si="41"/>
        <v>183.06410066421893</v>
      </c>
      <c r="I81" s="304">
        <f t="shared" ca="1" si="42"/>
        <v>186.18980835288295</v>
      </c>
      <c r="J81" s="306">
        <f t="shared" ca="1" si="43"/>
        <v>19.74511296638326</v>
      </c>
      <c r="K81" s="307">
        <f t="shared" ca="1" si="44"/>
        <v>108.72019564379444</v>
      </c>
      <c r="L81" s="304">
        <f t="shared" ca="1" si="29"/>
        <v>110.49864445720669</v>
      </c>
      <c r="M81" s="306">
        <f t="shared" ca="1" si="45"/>
        <v>1.3873028315119151</v>
      </c>
      <c r="N81" s="304">
        <f t="shared" ca="1" si="46"/>
        <v>79.486597152181488</v>
      </c>
      <c r="P81" s="310">
        <f t="shared" ca="1" si="47"/>
        <v>3</v>
      </c>
      <c r="Q81" s="304">
        <f t="shared" ca="1" si="48"/>
        <v>766.7299999999999</v>
      </c>
      <c r="R81" s="306">
        <f t="shared" ca="1" si="49"/>
        <v>0.38478606373003871</v>
      </c>
      <c r="S81" s="307">
        <f t="shared" ca="1" si="50"/>
        <v>5.7178826334915485</v>
      </c>
      <c r="T81" s="304">
        <f t="shared" ca="1" si="30"/>
        <v>56.092428634552093</v>
      </c>
      <c r="U81" s="311">
        <f t="shared" ca="1" si="31"/>
        <v>0</v>
      </c>
      <c r="V81" s="306">
        <f t="shared" ca="1" si="32"/>
        <v>1.2117537826009934</v>
      </c>
      <c r="W81" s="304">
        <f t="shared" ca="1" si="33"/>
        <v>136.29145027173658</v>
      </c>
      <c r="Y81" s="314" t="str">
        <f t="shared" ca="1" si="51"/>
        <v/>
      </c>
      <c r="Z81" s="315" t="str">
        <f t="shared" ca="1" si="52"/>
        <v/>
      </c>
      <c r="AA81" s="316" t="str">
        <f t="shared" ca="1" si="53"/>
        <v/>
      </c>
      <c r="AC81" s="310" t="e">
        <f t="shared" ca="1" si="54"/>
        <v>#N/A</v>
      </c>
      <c r="AD81" s="323" t="e">
        <f t="shared" ca="1" si="55"/>
        <v>#N/A</v>
      </c>
      <c r="AE81" s="324">
        <f t="shared" ca="1" si="34"/>
        <v>108.72019564379444</v>
      </c>
      <c r="AG81" s="306">
        <f t="shared" ca="1" si="56"/>
        <v>100.86510966153568</v>
      </c>
      <c r="AH81" s="304">
        <f t="shared" ca="1" si="57"/>
        <v>110.51059379974531</v>
      </c>
    </row>
    <row r="82" spans="1:34" x14ac:dyDescent="0.2">
      <c r="A82" s="347">
        <f t="shared" ca="1" si="35"/>
        <v>0.01</v>
      </c>
      <c r="B82" s="304">
        <f t="shared" ca="1" si="36"/>
        <v>0.78000000000000047</v>
      </c>
      <c r="D82" s="306">
        <f t="shared" ca="1" si="37"/>
        <v>20.09401038388469</v>
      </c>
      <c r="E82" s="307">
        <f t="shared" ca="1" si="38"/>
        <v>98.466217910383122</v>
      </c>
      <c r="F82" s="304">
        <f t="shared" ca="1" si="39"/>
        <v>100.49559852492406</v>
      </c>
      <c r="G82" s="306">
        <f t="shared" ca="1" si="40"/>
        <v>34.174161653818537</v>
      </c>
      <c r="H82" s="307">
        <f t="shared" ca="1" si="41"/>
        <v>184.04876284332275</v>
      </c>
      <c r="I82" s="304">
        <f t="shared" ca="1" si="42"/>
        <v>187.19460576869992</v>
      </c>
      <c r="J82" s="306">
        <f t="shared" ca="1" si="43"/>
        <v>20.08584988240225</v>
      </c>
      <c r="K82" s="307">
        <f t="shared" ca="1" si="44"/>
        <v>110.55575996133214</v>
      </c>
      <c r="L82" s="304">
        <f t="shared" ca="1" si="29"/>
        <v>112.36555266684755</v>
      </c>
      <c r="M82" s="306">
        <f t="shared" ca="1" si="45"/>
        <v>1.387207209802213</v>
      </c>
      <c r="N82" s="304">
        <f t="shared" ca="1" si="46"/>
        <v>79.481118431785731</v>
      </c>
      <c r="P82" s="310">
        <f t="shared" ca="1" si="47"/>
        <v>3</v>
      </c>
      <c r="Q82" s="304">
        <f t="shared" ca="1" si="48"/>
        <v>765.55</v>
      </c>
      <c r="R82" s="306">
        <f t="shared" ca="1" si="49"/>
        <v>0.3841938767082691</v>
      </c>
      <c r="S82" s="307">
        <f t="shared" ca="1" si="50"/>
        <v>5.7140406947244662</v>
      </c>
      <c r="T82" s="304">
        <f t="shared" ca="1" si="30"/>
        <v>56.054739215247018</v>
      </c>
      <c r="U82" s="311">
        <f t="shared" ca="1" si="31"/>
        <v>0</v>
      </c>
      <c r="V82" s="306">
        <f t="shared" ca="1" si="32"/>
        <v>1.2115313711297564</v>
      </c>
      <c r="W82" s="304">
        <f t="shared" ca="1" si="33"/>
        <v>137.74116214133966</v>
      </c>
      <c r="Y82" s="314" t="str">
        <f t="shared" ca="1" si="51"/>
        <v/>
      </c>
      <c r="Z82" s="315" t="str">
        <f t="shared" ca="1" si="52"/>
        <v/>
      </c>
      <c r="AA82" s="316" t="str">
        <f t="shared" ca="1" si="53"/>
        <v/>
      </c>
      <c r="AC82" s="310" t="e">
        <f t="shared" ca="1" si="54"/>
        <v>#N/A</v>
      </c>
      <c r="AD82" s="323" t="e">
        <f t="shared" ca="1" si="55"/>
        <v>#N/A</v>
      </c>
      <c r="AE82" s="324">
        <f t="shared" ca="1" si="34"/>
        <v>110.55575996133214</v>
      </c>
      <c r="AG82" s="306">
        <f t="shared" ca="1" si="56"/>
        <v>100.47965600089691</v>
      </c>
      <c r="AH82" s="304">
        <f t="shared" ca="1" si="57"/>
        <v>110.12496818743894</v>
      </c>
    </row>
    <row r="83" spans="1:34" x14ac:dyDescent="0.2">
      <c r="A83" s="347">
        <f t="shared" ca="1" si="35"/>
        <v>0.01</v>
      </c>
      <c r="B83" s="304">
        <f t="shared" ca="1" si="36"/>
        <v>0.79000000000000048</v>
      </c>
      <c r="D83" s="306">
        <f t="shared" ca="1" si="37"/>
        <v>20.033795745122752</v>
      </c>
      <c r="E83" s="307">
        <f t="shared" ca="1" si="38"/>
        <v>98.084243589547427</v>
      </c>
      <c r="F83" s="304">
        <f t="shared" ca="1" si="39"/>
        <v>100.10929933073638</v>
      </c>
      <c r="G83" s="306">
        <f t="shared" ca="1" si="40"/>
        <v>34.374499611269762</v>
      </c>
      <c r="H83" s="307">
        <f t="shared" ca="1" si="41"/>
        <v>185.02960527921823</v>
      </c>
      <c r="I83" s="304">
        <f t="shared" ca="1" si="42"/>
        <v>188.19553940863872</v>
      </c>
      <c r="J83" s="306">
        <f t="shared" ca="1" si="43"/>
        <v>20.428593188727692</v>
      </c>
      <c r="K83" s="307">
        <f t="shared" ca="1" si="44"/>
        <v>112.40115180194485</v>
      </c>
      <c r="L83" s="304">
        <f t="shared" ca="1" si="29"/>
        <v>114.24248923265976</v>
      </c>
      <c r="M83" s="306">
        <f t="shared" ca="1" si="45"/>
        <v>1.3871120476573648</v>
      </c>
      <c r="N83" s="304">
        <f t="shared" ca="1" si="46"/>
        <v>79.475666042516522</v>
      </c>
      <c r="P83" s="310">
        <f t="shared" ca="1" si="47"/>
        <v>3</v>
      </c>
      <c r="Q83" s="304">
        <f t="shared" ca="1" si="48"/>
        <v>764.36999999999989</v>
      </c>
      <c r="R83" s="306">
        <f t="shared" ca="1" si="49"/>
        <v>0.38360168968649944</v>
      </c>
      <c r="S83" s="307">
        <f t="shared" ca="1" si="50"/>
        <v>5.7102046778276012</v>
      </c>
      <c r="T83" s="304">
        <f t="shared" ca="1" si="30"/>
        <v>56.01710788948877</v>
      </c>
      <c r="U83" s="311">
        <f t="shared" ca="1" si="31"/>
        <v>0</v>
      </c>
      <c r="V83" s="306">
        <f t="shared" ca="1" si="32"/>
        <v>1.2113078098017112</v>
      </c>
      <c r="W83" s="304">
        <f t="shared" ca="1" si="33"/>
        <v>139.19242062191526</v>
      </c>
      <c r="Y83" s="314" t="str">
        <f t="shared" ca="1" si="51"/>
        <v/>
      </c>
      <c r="Z83" s="315" t="str">
        <f t="shared" ca="1" si="52"/>
        <v/>
      </c>
      <c r="AA83" s="316" t="str">
        <f t="shared" ca="1" si="53"/>
        <v/>
      </c>
      <c r="AC83" s="310" t="e">
        <f t="shared" ca="1" si="54"/>
        <v>#N/A</v>
      </c>
      <c r="AD83" s="323" t="e">
        <f t="shared" ca="1" si="55"/>
        <v>#N/A</v>
      </c>
      <c r="AE83" s="324">
        <f t="shared" ca="1" si="34"/>
        <v>112.40115180194485</v>
      </c>
      <c r="AG83" s="306">
        <f t="shared" ca="1" si="56"/>
        <v>100.09327878050237</v>
      </c>
      <c r="AH83" s="304">
        <f t="shared" ca="1" si="57"/>
        <v>109.73841976134837</v>
      </c>
    </row>
    <row r="84" spans="1:34" x14ac:dyDescent="0.2">
      <c r="A84" s="347">
        <f t="shared" ca="1" si="35"/>
        <v>0.01</v>
      </c>
      <c r="B84" s="304">
        <f t="shared" ca="1" si="36"/>
        <v>0.80000000000000049</v>
      </c>
      <c r="D84" s="306">
        <f t="shared" ca="1" si="37"/>
        <v>19.973293674062216</v>
      </c>
      <c r="E84" s="307">
        <f t="shared" ca="1" si="38"/>
        <v>97.701401952917777</v>
      </c>
      <c r="F84" s="304">
        <f t="shared" ca="1" si="39"/>
        <v>99.722095865239112</v>
      </c>
      <c r="G84" s="306">
        <f t="shared" ca="1" si="40"/>
        <v>34.574232548010386</v>
      </c>
      <c r="H84" s="307">
        <f t="shared" ca="1" si="41"/>
        <v>186.00661929874741</v>
      </c>
      <c r="I84" s="304">
        <f t="shared" ca="1" si="42"/>
        <v>189.19260022324619</v>
      </c>
      <c r="J84" s="306">
        <f t="shared" ca="1" si="43"/>
        <v>20.773336849524092</v>
      </c>
      <c r="K84" s="307">
        <f t="shared" ca="1" si="44"/>
        <v>114.25633292483468</v>
      </c>
      <c r="L84" s="304">
        <f t="shared" ca="1" si="29"/>
        <v>116.12941546952889</v>
      </c>
      <c r="M84" s="306">
        <f t="shared" ca="1" si="45"/>
        <v>1.3870173385112272</v>
      </c>
      <c r="N84" s="304">
        <f t="shared" ca="1" si="46"/>
        <v>79.470239608161535</v>
      </c>
      <c r="P84" s="310">
        <f t="shared" ca="1" si="47"/>
        <v>3</v>
      </c>
      <c r="Q84" s="304">
        <f t="shared" ca="1" si="48"/>
        <v>763.18999999999994</v>
      </c>
      <c r="R84" s="306">
        <f t="shared" ca="1" si="49"/>
        <v>0.38300950266472977</v>
      </c>
      <c r="S84" s="307">
        <f t="shared" ca="1" si="50"/>
        <v>5.7063745828009536</v>
      </c>
      <c r="T84" s="304">
        <f t="shared" ca="1" si="30"/>
        <v>55.979534657277355</v>
      </c>
      <c r="U84" s="311">
        <f t="shared" ca="1" si="31"/>
        <v>0</v>
      </c>
      <c r="V84" s="306">
        <f t="shared" ca="1" si="32"/>
        <v>1.2110831038924552</v>
      </c>
      <c r="W84" s="304">
        <f t="shared" ca="1" si="33"/>
        <v>140.64511625998463</v>
      </c>
      <c r="Y84" s="314" t="str">
        <f t="shared" ca="1" si="51"/>
        <v/>
      </c>
      <c r="Z84" s="315" t="str">
        <f t="shared" ca="1" si="52"/>
        <v/>
      </c>
      <c r="AA84" s="316" t="str">
        <f t="shared" ca="1" si="53"/>
        <v/>
      </c>
      <c r="AC84" s="310" t="e">
        <f t="shared" ca="1" si="54"/>
        <v>#N/A</v>
      </c>
      <c r="AD84" s="323" t="e">
        <f t="shared" ca="1" si="55"/>
        <v>#N/A</v>
      </c>
      <c r="AE84" s="324">
        <f t="shared" ca="1" si="34"/>
        <v>114.25633292483468</v>
      </c>
      <c r="AG84" s="306">
        <f t="shared" ca="1" si="56"/>
        <v>99.705996609546176</v>
      </c>
      <c r="AH84" s="304">
        <f t="shared" ca="1" si="57"/>
        <v>109.35096711996738</v>
      </c>
    </row>
    <row r="85" spans="1:34" x14ac:dyDescent="0.2">
      <c r="A85" s="347">
        <f t="shared" ca="1" si="35"/>
        <v>0.01</v>
      </c>
      <c r="B85" s="304">
        <f t="shared" ca="1" si="36"/>
        <v>0.8100000000000005</v>
      </c>
      <c r="D85" s="306">
        <f t="shared" ca="1" si="37"/>
        <v>19.912508545192981</v>
      </c>
      <c r="E85" s="307">
        <f t="shared" ca="1" si="38"/>
        <v>97.317711109871198</v>
      </c>
      <c r="F85" s="304">
        <f t="shared" ca="1" si="39"/>
        <v>99.334006725928106</v>
      </c>
      <c r="G85" s="306">
        <f t="shared" ca="1" si="40"/>
        <v>34.773357633462318</v>
      </c>
      <c r="H85" s="307">
        <f t="shared" ca="1" si="41"/>
        <v>186.97979640984613</v>
      </c>
      <c r="I85" s="304">
        <f t="shared" ca="1" si="42"/>
        <v>190.18577934896231</v>
      </c>
      <c r="J85" s="306">
        <f t="shared" ca="1" si="43"/>
        <v>21.120074800431457</v>
      </c>
      <c r="K85" s="307">
        <f t="shared" ca="1" si="44"/>
        <v>116.12126500337764</v>
      </c>
      <c r="L85" s="304">
        <f t="shared" ca="1" si="29"/>
        <v>118.02629260279456</v>
      </c>
      <c r="M85" s="306">
        <f t="shared" ca="1" si="45"/>
        <v>1.3869230759208664</v>
      </c>
      <c r="N85" s="304">
        <f t="shared" ca="1" si="46"/>
        <v>79.464838759567897</v>
      </c>
      <c r="P85" s="310">
        <f t="shared" ca="1" si="47"/>
        <v>3</v>
      </c>
      <c r="Q85" s="304">
        <f t="shared" ca="1" si="48"/>
        <v>762.01</v>
      </c>
      <c r="R85" s="306">
        <f t="shared" ca="1" si="49"/>
        <v>0.38241731564296016</v>
      </c>
      <c r="S85" s="307">
        <f t="shared" ca="1" si="50"/>
        <v>5.7025504096445241</v>
      </c>
      <c r="T85" s="304">
        <f t="shared" ca="1" si="30"/>
        <v>55.942019518612781</v>
      </c>
      <c r="U85" s="311">
        <f t="shared" ca="1" si="31"/>
        <v>0</v>
      </c>
      <c r="V85" s="306">
        <f t="shared" ca="1" si="32"/>
        <v>1.2108572586876765</v>
      </c>
      <c r="W85" s="304">
        <f t="shared" ca="1" si="33"/>
        <v>142.09914004165913</v>
      </c>
      <c r="Y85" s="314" t="str">
        <f t="shared" ca="1" si="51"/>
        <v/>
      </c>
      <c r="Z85" s="315" t="str">
        <f t="shared" ca="1" si="52"/>
        <v/>
      </c>
      <c r="AA85" s="316" t="str">
        <f t="shared" ca="1" si="53"/>
        <v/>
      </c>
      <c r="AC85" s="310" t="e">
        <f t="shared" ca="1" si="54"/>
        <v>#N/A</v>
      </c>
      <c r="AD85" s="323" t="e">
        <f t="shared" ca="1" si="55"/>
        <v>#N/A</v>
      </c>
      <c r="AE85" s="324">
        <f t="shared" ca="1" si="34"/>
        <v>116.12126500337764</v>
      </c>
      <c r="AG85" s="306">
        <f t="shared" ca="1" si="56"/>
        <v>99.317828077433859</v>
      </c>
      <c r="AH85" s="304">
        <f t="shared" ca="1" si="57"/>
        <v>108.96262884219711</v>
      </c>
    </row>
    <row r="86" spans="1:34" x14ac:dyDescent="0.2">
      <c r="A86" s="347">
        <f t="shared" ca="1" si="35"/>
        <v>0.01</v>
      </c>
      <c r="B86" s="304">
        <f t="shared" ca="1" si="36"/>
        <v>0.82000000000000051</v>
      </c>
      <c r="D86" s="306">
        <f t="shared" ca="1" si="37"/>
        <v>19.851444715085044</v>
      </c>
      <c r="E86" s="307">
        <f t="shared" ca="1" si="38"/>
        <v>96.933189150536478</v>
      </c>
      <c r="F86" s="304">
        <f t="shared" ca="1" si="39"/>
        <v>98.945050488489628</v>
      </c>
      <c r="G86" s="306">
        <f t="shared" ca="1" si="40"/>
        <v>34.971872080613167</v>
      </c>
      <c r="H86" s="307">
        <f t="shared" ca="1" si="41"/>
        <v>187.94912830135149</v>
      </c>
      <c r="I86" s="304">
        <f t="shared" ca="1" si="42"/>
        <v>191.17506810790118</v>
      </c>
      <c r="J86" s="306">
        <f t="shared" ca="1" si="43"/>
        <v>21.468800949001835</v>
      </c>
      <c r="K86" s="307">
        <f t="shared" ca="1" si="44"/>
        <v>117.99590962693364</v>
      </c>
      <c r="L86" s="304">
        <f t="shared" ca="1" si="29"/>
        <v>119.93308177010775</v>
      </c>
      <c r="M86" s="306">
        <f t="shared" ca="1" si="45"/>
        <v>1.3868292535634432</v>
      </c>
      <c r="N86" s="304">
        <f t="shared" ca="1" si="46"/>
        <v>79.459463134463576</v>
      </c>
      <c r="P86" s="310">
        <f t="shared" ca="1" si="47"/>
        <v>3</v>
      </c>
      <c r="Q86" s="304">
        <f t="shared" ca="1" si="48"/>
        <v>760.82999999999993</v>
      </c>
      <c r="R86" s="306">
        <f t="shared" ca="1" si="49"/>
        <v>0.3818251286211905</v>
      </c>
      <c r="S86" s="307">
        <f t="shared" ca="1" si="50"/>
        <v>5.6987321583583119</v>
      </c>
      <c r="T86" s="304">
        <f t="shared" ca="1" si="30"/>
        <v>55.904562473495041</v>
      </c>
      <c r="U86" s="311">
        <f t="shared" ca="1" si="31"/>
        <v>0</v>
      </c>
      <c r="V86" s="306">
        <f t="shared" ca="1" si="32"/>
        <v>1.2106302794828758</v>
      </c>
      <c r="W86" s="304">
        <f t="shared" ca="1" si="33"/>
        <v>143.55438340307077</v>
      </c>
      <c r="Y86" s="314" t="str">
        <f t="shared" ca="1" si="51"/>
        <v/>
      </c>
      <c r="Z86" s="315" t="str">
        <f t="shared" ca="1" si="52"/>
        <v/>
      </c>
      <c r="AA86" s="316" t="str">
        <f t="shared" ca="1" si="53"/>
        <v/>
      </c>
      <c r="AC86" s="310" t="e">
        <f t="shared" ca="1" si="54"/>
        <v>#N/A</v>
      </c>
      <c r="AD86" s="323" t="e">
        <f t="shared" ca="1" si="55"/>
        <v>#N/A</v>
      </c>
      <c r="AE86" s="324">
        <f t="shared" ca="1" si="34"/>
        <v>117.99590962693364</v>
      </c>
      <c r="AG86" s="306">
        <f t="shared" ca="1" si="56"/>
        <v>98.928791751672208</v>
      </c>
      <c r="AH86" s="304">
        <f t="shared" ca="1" si="57"/>
        <v>108.57342348523089</v>
      </c>
    </row>
    <row r="87" spans="1:34" x14ac:dyDescent="0.2">
      <c r="A87" s="347">
        <f t="shared" ca="1" si="35"/>
        <v>0.01</v>
      </c>
      <c r="B87" s="304">
        <f t="shared" ca="1" si="36"/>
        <v>0.83000000000000052</v>
      </c>
      <c r="D87" s="306">
        <f t="shared" ca="1" si="37"/>
        <v>19.790106522425845</v>
      </c>
      <c r="E87" s="307">
        <f t="shared" ca="1" si="38"/>
        <v>96.547854143666825</v>
      </c>
      <c r="F87" s="304">
        <f t="shared" ca="1" si="39"/>
        <v>98.555245704709833</v>
      </c>
      <c r="G87" s="306">
        <f t="shared" ca="1" si="40"/>
        <v>35.169773145837425</v>
      </c>
      <c r="H87" s="307">
        <f t="shared" ca="1" si="41"/>
        <v>188.91460684278817</v>
      </c>
      <c r="I87" s="304">
        <f t="shared" ca="1" si="42"/>
        <v>192.16045800761117</v>
      </c>
      <c r="J87" s="306">
        <f t="shared" ca="1" si="43"/>
        <v>21.819509175134087</v>
      </c>
      <c r="K87" s="307">
        <f t="shared" ca="1" si="44"/>
        <v>119.88022830265433</v>
      </c>
      <c r="L87" s="304">
        <f t="shared" ca="1" si="29"/>
        <v>121.84974402328585</v>
      </c>
      <c r="M87" s="306">
        <f t="shared" ca="1" si="45"/>
        <v>1.3867358652332</v>
      </c>
      <c r="N87" s="304">
        <f t="shared" ca="1" si="46"/>
        <v>79.454112377284872</v>
      </c>
      <c r="P87" s="310">
        <f t="shared" ca="1" si="47"/>
        <v>3</v>
      </c>
      <c r="Q87" s="304">
        <f t="shared" ca="1" si="48"/>
        <v>759.65</v>
      </c>
      <c r="R87" s="306">
        <f t="shared" ca="1" si="49"/>
        <v>0.38123294159942084</v>
      </c>
      <c r="S87" s="307">
        <f t="shared" ca="1" si="50"/>
        <v>5.694919828942318</v>
      </c>
      <c r="T87" s="304">
        <f t="shared" ca="1" si="30"/>
        <v>55.867163521924141</v>
      </c>
      <c r="U87" s="311">
        <f t="shared" ca="1" si="31"/>
        <v>0</v>
      </c>
      <c r="V87" s="306">
        <f t="shared" ca="1" si="32"/>
        <v>1.2104021715830922</v>
      </c>
      <c r="W87" s="304">
        <f t="shared" ca="1" si="33"/>
        <v>145.01073824065602</v>
      </c>
      <c r="Y87" s="314" t="str">
        <f t="shared" ca="1" si="51"/>
        <v/>
      </c>
      <c r="Z87" s="315" t="str">
        <f t="shared" ca="1" si="52"/>
        <v/>
      </c>
      <c r="AA87" s="316" t="str">
        <f t="shared" ca="1" si="53"/>
        <v/>
      </c>
      <c r="AC87" s="310" t="e">
        <f t="shared" ca="1" si="54"/>
        <v>#N/A</v>
      </c>
      <c r="AD87" s="323" t="e">
        <f t="shared" ca="1" si="55"/>
        <v>#N/A</v>
      </c>
      <c r="AE87" s="324">
        <f t="shared" ca="1" si="34"/>
        <v>119.88022830265433</v>
      </c>
      <c r="AG87" s="306">
        <f t="shared" ca="1" si="56"/>
        <v>98.538906175776674</v>
      </c>
      <c r="AH87" s="304">
        <f t="shared" ca="1" si="57"/>
        <v>108.18336958245693</v>
      </c>
    </row>
    <row r="88" spans="1:34" x14ac:dyDescent="0.2">
      <c r="A88" s="347">
        <f t="shared" ca="1" si="35"/>
        <v>0.01</v>
      </c>
      <c r="B88" s="304">
        <f t="shared" ca="1" si="36"/>
        <v>0.84000000000000052</v>
      </c>
      <c r="D88" s="306">
        <f t="shared" ca="1" si="37"/>
        <v>19.728498288045653</v>
      </c>
      <c r="E88" s="307">
        <f t="shared" ca="1" si="38"/>
        <v>96.161724134532221</v>
      </c>
      <c r="F88" s="304">
        <f t="shared" ca="1" si="39"/>
        <v>98.164610900401868</v>
      </c>
      <c r="G88" s="306">
        <f t="shared" ca="1" si="40"/>
        <v>35.367058128717879</v>
      </c>
      <c r="H88" s="307">
        <f t="shared" ca="1" si="41"/>
        <v>189.8762240841335</v>
      </c>
      <c r="I88" s="304">
        <f t="shared" ca="1" si="42"/>
        <v>193.14194074081422</v>
      </c>
      <c r="J88" s="306">
        <f t="shared" ca="1" si="43"/>
        <v>22.172193331506865</v>
      </c>
      <c r="K88" s="307">
        <f t="shared" ca="1" si="44"/>
        <v>121.77418245728894</v>
      </c>
      <c r="L88" s="304">
        <f t="shared" ca="1" si="29"/>
        <v>123.77624033016521</v>
      </c>
      <c r="M88" s="306">
        <f t="shared" ca="1" si="45"/>
        <v>1.3866429048385387</v>
      </c>
      <c r="N88" s="304">
        <f t="shared" ca="1" si="46"/>
        <v>79.448786139008902</v>
      </c>
      <c r="P88" s="310">
        <f t="shared" ca="1" si="47"/>
        <v>3</v>
      </c>
      <c r="Q88" s="304">
        <f t="shared" ca="1" si="48"/>
        <v>758.46999999999991</v>
      </c>
      <c r="R88" s="306">
        <f t="shared" ca="1" si="49"/>
        <v>0.38064075457765117</v>
      </c>
      <c r="S88" s="307">
        <f t="shared" ca="1" si="50"/>
        <v>5.6911134213965413</v>
      </c>
      <c r="T88" s="304">
        <f t="shared" ca="1" si="30"/>
        <v>55.829822663900075</v>
      </c>
      <c r="U88" s="311">
        <f t="shared" ca="1" si="31"/>
        <v>0</v>
      </c>
      <c r="V88" s="306">
        <f t="shared" ca="1" si="32"/>
        <v>1.2101729403026269</v>
      </c>
      <c r="W88" s="304">
        <f t="shared" ca="1" si="33"/>
        <v>146.46809692129088</v>
      </c>
      <c r="Y88" s="314" t="str">
        <f t="shared" ca="1" si="51"/>
        <v/>
      </c>
      <c r="Z88" s="315" t="str">
        <f t="shared" ca="1" si="52"/>
        <v/>
      </c>
      <c r="AA88" s="316" t="str">
        <f t="shared" ca="1" si="53"/>
        <v/>
      </c>
      <c r="AC88" s="310" t="e">
        <f t="shared" ca="1" si="54"/>
        <v>#N/A</v>
      </c>
      <c r="AD88" s="323" t="e">
        <f t="shared" ca="1" si="55"/>
        <v>#N/A</v>
      </c>
      <c r="AE88" s="324">
        <f t="shared" ca="1" si="34"/>
        <v>121.77418245728894</v>
      </c>
      <c r="AG88" s="306">
        <f t="shared" ca="1" si="56"/>
        <v>98.148189867196265</v>
      </c>
      <c r="AH88" s="304">
        <f t="shared" ca="1" si="57"/>
        <v>107.79248564137863</v>
      </c>
    </row>
    <row r="89" spans="1:34" x14ac:dyDescent="0.2">
      <c r="A89" s="347">
        <f t="shared" ca="1" si="35"/>
        <v>0.01</v>
      </c>
      <c r="B89" s="304">
        <f t="shared" ca="1" si="36"/>
        <v>0.85000000000000053</v>
      </c>
      <c r="D89" s="306">
        <f t="shared" ca="1" si="37"/>
        <v>19.666624314932442</v>
      </c>
      <c r="E89" s="307">
        <f t="shared" ca="1" si="38"/>
        <v>95.774817142831765</v>
      </c>
      <c r="F89" s="304">
        <f t="shared" ca="1" si="39"/>
        <v>97.773164573350869</v>
      </c>
      <c r="G89" s="306">
        <f t="shared" ca="1" si="40"/>
        <v>35.563724371867202</v>
      </c>
      <c r="H89" s="307">
        <f t="shared" ca="1" si="41"/>
        <v>190.8339722555618</v>
      </c>
      <c r="I89" s="304">
        <f t="shared" ca="1" si="42"/>
        <v>194.11950818512466</v>
      </c>
      <c r="J89" s="306">
        <f t="shared" ca="1" si="43"/>
        <v>22.52684724400979</v>
      </c>
      <c r="K89" s="307">
        <f t="shared" ca="1" si="44"/>
        <v>123.67773343898742</v>
      </c>
      <c r="L89" s="304">
        <f t="shared" ca="1" si="29"/>
        <v>125.71253157645094</v>
      </c>
      <c r="M89" s="306">
        <f t="shared" ca="1" si="45"/>
        <v>1.3865503663991905</v>
      </c>
      <c r="N89" s="304">
        <f t="shared" ca="1" si="46"/>
        <v>79.443484076991524</v>
      </c>
      <c r="P89" s="310">
        <f t="shared" ca="1" si="47"/>
        <v>3</v>
      </c>
      <c r="Q89" s="304">
        <f t="shared" ca="1" si="48"/>
        <v>757.29</v>
      </c>
      <c r="R89" s="306">
        <f t="shared" ca="1" si="49"/>
        <v>0.38004856755588157</v>
      </c>
      <c r="S89" s="307">
        <f t="shared" ca="1" si="50"/>
        <v>5.6873129357209828</v>
      </c>
      <c r="T89" s="304">
        <f t="shared" ca="1" si="30"/>
        <v>55.792539899422842</v>
      </c>
      <c r="U89" s="311">
        <f t="shared" ca="1" si="31"/>
        <v>0</v>
      </c>
      <c r="V89" s="306">
        <f t="shared" ca="1" si="32"/>
        <v>1.2099425909647712</v>
      </c>
      <c r="W89" s="304">
        <f t="shared" ca="1" si="33"/>
        <v>147.92635229227639</v>
      </c>
      <c r="Y89" s="314" t="str">
        <f t="shared" ca="1" si="51"/>
        <v/>
      </c>
      <c r="Z89" s="315" t="str">
        <f t="shared" ca="1" si="52"/>
        <v/>
      </c>
      <c r="AA89" s="316" t="str">
        <f t="shared" ca="1" si="53"/>
        <v/>
      </c>
      <c r="AC89" s="310" t="e">
        <f t="shared" ca="1" si="54"/>
        <v>#N/A</v>
      </c>
      <c r="AD89" s="323" t="e">
        <f t="shared" ca="1" si="55"/>
        <v>#N/A</v>
      </c>
      <c r="AE89" s="324">
        <f t="shared" ca="1" si="34"/>
        <v>123.67773343898742</v>
      </c>
      <c r="AG89" s="306">
        <f t="shared" ca="1" si="56"/>
        <v>97.756661315256451</v>
      </c>
      <c r="AH89" s="304">
        <f t="shared" ca="1" si="57"/>
        <v>107.40079014155302</v>
      </c>
    </row>
    <row r="90" spans="1:34" x14ac:dyDescent="0.2">
      <c r="A90" s="347">
        <f t="shared" ca="1" si="35"/>
        <v>0.01</v>
      </c>
      <c r="B90" s="304">
        <f t="shared" ca="1" si="36"/>
        <v>0.86000000000000054</v>
      </c>
      <c r="D90" s="306">
        <f t="shared" ca="1" si="37"/>
        <v>19.60448888823634</v>
      </c>
      <c r="E90" s="307">
        <f t="shared" ca="1" si="38"/>
        <v>95.387151160626331</v>
      </c>
      <c r="F90" s="304">
        <f t="shared" ca="1" si="39"/>
        <v>97.38092519127737</v>
      </c>
      <c r="G90" s="306">
        <f t="shared" ca="1" si="40"/>
        <v>35.759769260749565</v>
      </c>
      <c r="H90" s="307">
        <f t="shared" ca="1" si="41"/>
        <v>191.78784376716806</v>
      </c>
      <c r="I90" s="304">
        <f t="shared" ca="1" si="42"/>
        <v>195.09315240274762</v>
      </c>
      <c r="J90" s="306">
        <f t="shared" ca="1" si="43"/>
        <v>22.883464712172874</v>
      </c>
      <c r="K90" s="307">
        <f t="shared" ca="1" si="44"/>
        <v>125.59084251910106</v>
      </c>
      <c r="L90" s="304">
        <f t="shared" ca="1" si="29"/>
        <v>127.65857856756398</v>
      </c>
      <c r="M90" s="306">
        <f t="shared" ca="1" si="45"/>
        <v>1.386458244043473</v>
      </c>
      <c r="N90" s="304">
        <f t="shared" ca="1" si="46"/>
        <v>79.438205854810107</v>
      </c>
      <c r="P90" s="310">
        <f t="shared" ca="1" si="47"/>
        <v>3</v>
      </c>
      <c r="Q90" s="304">
        <f t="shared" ca="1" si="48"/>
        <v>756.1099999999999</v>
      </c>
      <c r="R90" s="306">
        <f t="shared" ca="1" si="49"/>
        <v>0.37945638053411185</v>
      </c>
      <c r="S90" s="307">
        <f t="shared" ca="1" si="50"/>
        <v>5.6835183719156417</v>
      </c>
      <c r="T90" s="304">
        <f t="shared" ca="1" si="30"/>
        <v>55.755315228492449</v>
      </c>
      <c r="U90" s="311">
        <f t="shared" ca="1" si="31"/>
        <v>0</v>
      </c>
      <c r="V90" s="306">
        <f t="shared" ca="1" si="32"/>
        <v>1.2097111289015314</v>
      </c>
      <c r="W90" s="304">
        <f t="shared" ca="1" si="33"/>
        <v>149.38539769117352</v>
      </c>
      <c r="Y90" s="314" t="str">
        <f t="shared" ca="1" si="51"/>
        <v/>
      </c>
      <c r="Z90" s="315" t="str">
        <f t="shared" ca="1" si="52"/>
        <v/>
      </c>
      <c r="AA90" s="316" t="str">
        <f t="shared" ca="1" si="53"/>
        <v/>
      </c>
      <c r="AC90" s="310" t="e">
        <f t="shared" ca="1" si="54"/>
        <v>#N/A</v>
      </c>
      <c r="AD90" s="323" t="e">
        <f t="shared" ca="1" si="55"/>
        <v>#N/A</v>
      </c>
      <c r="AE90" s="324">
        <f t="shared" ca="1" si="34"/>
        <v>125.59084251910106</v>
      </c>
      <c r="AG90" s="306">
        <f t="shared" ca="1" si="56"/>
        <v>97.364338979120419</v>
      </c>
      <c r="AH90" s="304">
        <f t="shared" ca="1" si="57"/>
        <v>107.00830153254769</v>
      </c>
    </row>
    <row r="91" spans="1:34" x14ac:dyDescent="0.2">
      <c r="A91" s="347">
        <f t="shared" ca="1" si="35"/>
        <v>0.01</v>
      </c>
      <c r="B91" s="304">
        <f t="shared" ca="1" si="36"/>
        <v>0.87000000000000055</v>
      </c>
      <c r="D91" s="306">
        <f t="shared" ca="1" si="37"/>
        <v>19.542096275264438</v>
      </c>
      <c r="E91" s="307">
        <f t="shared" ca="1" si="38"/>
        <v>94.998744150291856</v>
      </c>
      <c r="F91" s="304">
        <f t="shared" ca="1" si="39"/>
        <v>96.987911189819499</v>
      </c>
      <c r="G91" s="306">
        <f t="shared" ca="1" si="40"/>
        <v>35.955190223502207</v>
      </c>
      <c r="H91" s="307">
        <f t="shared" ca="1" si="41"/>
        <v>192.73783120867097</v>
      </c>
      <c r="I91" s="304">
        <f t="shared" ca="1" si="42"/>
        <v>196.0628656401573</v>
      </c>
      <c r="J91" s="306">
        <f t="shared" ca="1" si="43"/>
        <v>23.242039509594132</v>
      </c>
      <c r="K91" s="307">
        <f t="shared" ca="1" si="44"/>
        <v>127.51347089398026</v>
      </c>
      <c r="L91" s="304">
        <f t="shared" ca="1" si="29"/>
        <v>129.61434203048475</v>
      </c>
      <c r="M91" s="306">
        <f t="shared" ca="1" si="45"/>
        <v>1.3863665320056326</v>
      </c>
      <c r="N91" s="304">
        <f t="shared" ca="1" si="46"/>
        <v>79.432951142111321</v>
      </c>
      <c r="P91" s="310">
        <f t="shared" ca="1" si="47"/>
        <v>3</v>
      </c>
      <c r="Q91" s="304">
        <f t="shared" ca="1" si="48"/>
        <v>754.93</v>
      </c>
      <c r="R91" s="306">
        <f t="shared" ca="1" si="49"/>
        <v>0.37886419351234224</v>
      </c>
      <c r="S91" s="307">
        <f t="shared" ca="1" si="50"/>
        <v>5.6797297299805178</v>
      </c>
      <c r="T91" s="304">
        <f t="shared" ca="1" si="30"/>
        <v>55.718148651108883</v>
      </c>
      <c r="U91" s="311">
        <f t="shared" ca="1" si="31"/>
        <v>0</v>
      </c>
      <c r="V91" s="306">
        <f t="shared" ca="1" si="32"/>
        <v>1.2094785594533564</v>
      </c>
      <c r="W91" s="304">
        <f t="shared" ca="1" si="33"/>
        <v>150.84512695548642</v>
      </c>
      <c r="Y91" s="314" t="str">
        <f t="shared" ca="1" si="51"/>
        <v/>
      </c>
      <c r="Z91" s="315" t="str">
        <f t="shared" ca="1" si="52"/>
        <v/>
      </c>
      <c r="AA91" s="316" t="str">
        <f t="shared" ca="1" si="53"/>
        <v/>
      </c>
      <c r="AC91" s="310" t="e">
        <f t="shared" ca="1" si="54"/>
        <v>#N/A</v>
      </c>
      <c r="AD91" s="323" t="e">
        <f t="shared" ca="1" si="55"/>
        <v>#N/A</v>
      </c>
      <c r="AE91" s="324">
        <f t="shared" ca="1" si="34"/>
        <v>127.51347089398026</v>
      </c>
      <c r="AG91" s="306">
        <f t="shared" ca="1" si="56"/>
        <v>96.971241285769054</v>
      </c>
      <c r="AH91" s="304">
        <f t="shared" ca="1" si="57"/>
        <v>106.61503823191661</v>
      </c>
    </row>
    <row r="92" spans="1:34" x14ac:dyDescent="0.2">
      <c r="A92" s="347">
        <f t="shared" ca="1" si="35"/>
        <v>0.01</v>
      </c>
      <c r="B92" s="304">
        <f t="shared" ca="1" si="36"/>
        <v>0.88000000000000056</v>
      </c>
      <c r="D92" s="306">
        <f t="shared" ca="1" si="37"/>
        <v>19.479450725466187</v>
      </c>
      <c r="E92" s="307">
        <f t="shared" ca="1" si="38"/>
        <v>94.609614042493206</v>
      </c>
      <c r="F92" s="304">
        <f t="shared" ca="1" si="39"/>
        <v>96.594140970533985</v>
      </c>
      <c r="G92" s="306">
        <f t="shared" ca="1" si="40"/>
        <v>36.14998473075687</v>
      </c>
      <c r="H92" s="307">
        <f t="shared" ca="1" si="41"/>
        <v>193.68392734909591</v>
      </c>
      <c r="I92" s="304">
        <f t="shared" ca="1" si="42"/>
        <v>197.02864032775494</v>
      </c>
      <c r="J92" s="306">
        <f t="shared" ca="1" si="43"/>
        <v>23.602565384365427</v>
      </c>
      <c r="K92" s="307">
        <f t="shared" ca="1" si="44"/>
        <v>129.44557968676909</v>
      </c>
      <c r="L92" s="304">
        <f t="shared" ca="1" si="29"/>
        <v>131.57978261559384</v>
      </c>
      <c r="M92" s="306">
        <f t="shared" ca="1" si="45"/>
        <v>1.3862752246232661</v>
      </c>
      <c r="N92" s="304">
        <f t="shared" ca="1" si="46"/>
        <v>79.427719614463328</v>
      </c>
      <c r="P92" s="310">
        <f t="shared" ca="1" si="47"/>
        <v>3</v>
      </c>
      <c r="Q92" s="304">
        <f t="shared" ca="1" si="48"/>
        <v>753.74999999999989</v>
      </c>
      <c r="R92" s="306">
        <f t="shared" ca="1" si="49"/>
        <v>0.37827200649057252</v>
      </c>
      <c r="S92" s="307">
        <f t="shared" ca="1" si="50"/>
        <v>5.6759470099156122</v>
      </c>
      <c r="T92" s="304">
        <f t="shared" ca="1" si="30"/>
        <v>55.681040167272158</v>
      </c>
      <c r="U92" s="311">
        <f t="shared" ca="1" si="31"/>
        <v>0</v>
      </c>
      <c r="V92" s="306">
        <f t="shared" ca="1" si="32"/>
        <v>1.2092448879688658</v>
      </c>
      <c r="W92" s="304">
        <f t="shared" ca="1" si="33"/>
        <v>152.30543443219256</v>
      </c>
      <c r="Y92" s="314" t="str">
        <f t="shared" ca="1" si="51"/>
        <v/>
      </c>
      <c r="Z92" s="315" t="str">
        <f t="shared" ca="1" si="52"/>
        <v/>
      </c>
      <c r="AA92" s="316" t="str">
        <f t="shared" ca="1" si="53"/>
        <v/>
      </c>
      <c r="AC92" s="310" t="e">
        <f t="shared" ca="1" si="54"/>
        <v>#N/A</v>
      </c>
      <c r="AD92" s="323" t="e">
        <f t="shared" ca="1" si="55"/>
        <v>#N/A</v>
      </c>
      <c r="AE92" s="324">
        <f t="shared" ca="1" si="34"/>
        <v>129.44557968676909</v>
      </c>
      <c r="AG92" s="306">
        <f t="shared" ca="1" si="56"/>
        <v>96.577386627999743</v>
      </c>
      <c r="AH92" s="304">
        <f t="shared" ca="1" si="57"/>
        <v>106.22101862319487</v>
      </c>
    </row>
    <row r="93" spans="1:34" x14ac:dyDescent="0.2">
      <c r="A93" s="347">
        <f t="shared" ca="1" si="35"/>
        <v>0.01</v>
      </c>
      <c r="B93" s="304">
        <f t="shared" ca="1" si="36"/>
        <v>0.89000000000000057</v>
      </c>
      <c r="D93" s="306">
        <f t="shared" ca="1" si="37"/>
        <v>19.416556470410459</v>
      </c>
      <c r="E93" s="307">
        <f t="shared" ca="1" si="38"/>
        <v>94.219778734179286</v>
      </c>
      <c r="F93" s="304">
        <f t="shared" ca="1" si="39"/>
        <v>96.199632898916732</v>
      </c>
      <c r="G93" s="306">
        <f t="shared" ca="1" si="40"/>
        <v>36.344150295460977</v>
      </c>
      <c r="H93" s="307">
        <f t="shared" ca="1" si="41"/>
        <v>194.62612513643771</v>
      </c>
      <c r="I93" s="304">
        <f t="shared" ca="1" si="42"/>
        <v>197.99046907950736</v>
      </c>
      <c r="J93" s="306">
        <f t="shared" ca="1" si="43"/>
        <v>23.965036059496516</v>
      </c>
      <c r="K93" s="307">
        <f t="shared" ca="1" si="44"/>
        <v>131.38712994919675</v>
      </c>
      <c r="L93" s="304">
        <f t="shared" ca="1" si="29"/>
        <v>133.55486089850896</v>
      </c>
      <c r="M93" s="306">
        <f t="shared" ca="1" si="45"/>
        <v>1.386184316334822</v>
      </c>
      <c r="N93" s="304">
        <f t="shared" ca="1" si="46"/>
        <v>79.422510953212722</v>
      </c>
      <c r="P93" s="310">
        <f t="shared" ca="1" si="47"/>
        <v>3</v>
      </c>
      <c r="Q93" s="304">
        <f t="shared" ca="1" si="48"/>
        <v>752.56999999999994</v>
      </c>
      <c r="R93" s="306">
        <f t="shared" ca="1" si="49"/>
        <v>0.37767981946880291</v>
      </c>
      <c r="S93" s="307">
        <f t="shared" ca="1" si="50"/>
        <v>5.6721702117209238</v>
      </c>
      <c r="T93" s="304">
        <f t="shared" ca="1" si="30"/>
        <v>55.643989776982266</v>
      </c>
      <c r="U93" s="311">
        <f t="shared" ca="1" si="31"/>
        <v>0</v>
      </c>
      <c r="V93" s="306">
        <f t="shared" ca="1" si="32"/>
        <v>1.2090101198045786</v>
      </c>
      <c r="W93" s="304">
        <f t="shared" ca="1" si="33"/>
        <v>153.76621498711995</v>
      </c>
      <c r="Y93" s="314" t="str">
        <f t="shared" ca="1" si="51"/>
        <v/>
      </c>
      <c r="Z93" s="315" t="str">
        <f t="shared" ca="1" si="52"/>
        <v/>
      </c>
      <c r="AA93" s="316" t="str">
        <f t="shared" ca="1" si="53"/>
        <v/>
      </c>
      <c r="AC93" s="310" t="e">
        <f t="shared" ca="1" si="54"/>
        <v>#N/A</v>
      </c>
      <c r="AD93" s="323" t="e">
        <f t="shared" ca="1" si="55"/>
        <v>#N/A</v>
      </c>
      <c r="AE93" s="324">
        <f t="shared" ca="1" si="34"/>
        <v>131.38712994919675</v>
      </c>
      <c r="AG93" s="306">
        <f t="shared" ca="1" si="56"/>
        <v>96.182793362444698</v>
      </c>
      <c r="AH93" s="304">
        <f t="shared" ca="1" si="57"/>
        <v>105.82626105391299</v>
      </c>
    </row>
    <row r="94" spans="1:34" x14ac:dyDescent="0.2">
      <c r="A94" s="347">
        <f t="shared" ca="1" si="35"/>
        <v>0.01</v>
      </c>
      <c r="B94" s="304">
        <f t="shared" ca="1" si="36"/>
        <v>0.90000000000000058</v>
      </c>
      <c r="D94" s="306">
        <f t="shared" ca="1" si="37"/>
        <v>19.353417723754145</v>
      </c>
      <c r="E94" s="307">
        <f t="shared" ca="1" si="38"/>
        <v>93.829256086599059</v>
      </c>
      <c r="F94" s="304">
        <f t="shared" ca="1" si="39"/>
        <v>95.804405302442689</v>
      </c>
      <c r="G94" s="306">
        <f t="shared" ca="1" si="40"/>
        <v>36.537684472698515</v>
      </c>
      <c r="H94" s="307">
        <f t="shared" ca="1" si="41"/>
        <v>195.5644176973037</v>
      </c>
      <c r="I94" s="304">
        <f t="shared" ca="1" si="42"/>
        <v>198.94834469256571</v>
      </c>
      <c r="J94" s="306">
        <f t="shared" ca="1" si="43"/>
        <v>24.329445233337314</v>
      </c>
      <c r="K94" s="307">
        <f t="shared" ca="1" si="44"/>
        <v>133.33808266336544</v>
      </c>
      <c r="L94" s="304">
        <f t="shared" ca="1" si="29"/>
        <v>135.53953738191834</v>
      </c>
      <c r="M94" s="306">
        <f t="shared" ca="1" si="45"/>
        <v>1.3860938016771758</v>
      </c>
      <c r="N94" s="304">
        <f t="shared" ca="1" si="46"/>
        <v>79.417324845345519</v>
      </c>
      <c r="P94" s="310">
        <f t="shared" ca="1" si="47"/>
        <v>3</v>
      </c>
      <c r="Q94" s="304">
        <f t="shared" ca="1" si="48"/>
        <v>751.38999999999987</v>
      </c>
      <c r="R94" s="306">
        <f t="shared" ca="1" si="49"/>
        <v>0.37708763244703325</v>
      </c>
      <c r="S94" s="307">
        <f t="shared" ca="1" si="50"/>
        <v>5.6683993353964537</v>
      </c>
      <c r="T94" s="304">
        <f t="shared" ca="1" si="30"/>
        <v>55.606997480239215</v>
      </c>
      <c r="U94" s="311">
        <f t="shared" ca="1" si="31"/>
        <v>0</v>
      </c>
      <c r="V94" s="306">
        <f t="shared" ca="1" si="32"/>
        <v>1.2087742603246432</v>
      </c>
      <c r="W94" s="304">
        <f t="shared" ca="1" si="33"/>
        <v>155.22736401416972</v>
      </c>
      <c r="Y94" s="314" t="str">
        <f t="shared" ca="1" si="51"/>
        <v/>
      </c>
      <c r="Z94" s="315" t="str">
        <f t="shared" ca="1" si="52"/>
        <v/>
      </c>
      <c r="AA94" s="316" t="str">
        <f t="shared" ca="1" si="53"/>
        <v/>
      </c>
      <c r="AC94" s="310" t="e">
        <f t="shared" ca="1" si="54"/>
        <v>#N/A</v>
      </c>
      <c r="AD94" s="323" t="e">
        <f t="shared" ca="1" si="55"/>
        <v>#N/A</v>
      </c>
      <c r="AE94" s="324">
        <f t="shared" ca="1" si="34"/>
        <v>133.33808266336544</v>
      </c>
      <c r="AG94" s="306">
        <f t="shared" ca="1" si="56"/>
        <v>95.787479807608506</v>
      </c>
      <c r="AH94" s="304">
        <f t="shared" ca="1" si="57"/>
        <v>105.43078383363078</v>
      </c>
    </row>
    <row r="95" spans="1:34" x14ac:dyDescent="0.2">
      <c r="A95" s="347">
        <f t="shared" ca="1" si="35"/>
        <v>0.01</v>
      </c>
      <c r="B95" s="304">
        <f t="shared" ca="1" si="36"/>
        <v>0.91000000000000059</v>
      </c>
      <c r="D95" s="306">
        <f t="shared" ca="1" si="37"/>
        <v>19.290038681203271</v>
      </c>
      <c r="E95" s="307">
        <f t="shared" ca="1" si="38"/>
        <v>93.438063923339328</v>
      </c>
      <c r="F95" s="304">
        <f t="shared" ca="1" si="39"/>
        <v>95.408476468626006</v>
      </c>
      <c r="G95" s="306">
        <f t="shared" ca="1" si="40"/>
        <v>36.73058485951055</v>
      </c>
      <c r="H95" s="307">
        <f t="shared" ca="1" si="41"/>
        <v>196.49879833653708</v>
      </c>
      <c r="I95" s="304">
        <f t="shared" ca="1" si="42"/>
        <v>199.90226014686471</v>
      </c>
      <c r="J95" s="306">
        <f t="shared" ca="1" si="43"/>
        <v>24.695786579998359</v>
      </c>
      <c r="K95" s="307">
        <f t="shared" ca="1" si="44"/>
        <v>135.29839874353465</v>
      </c>
      <c r="L95" s="304">
        <f t="shared" ca="1" si="29"/>
        <v>137.53377249740998</v>
      </c>
      <c r="M95" s="306">
        <f t="shared" ca="1" si="45"/>
        <v>1.3860036752832796</v>
      </c>
      <c r="N95" s="304">
        <f t="shared" ca="1" si="46"/>
        <v>79.412160983352535</v>
      </c>
      <c r="P95" s="310">
        <f t="shared" ca="1" si="47"/>
        <v>3</v>
      </c>
      <c r="Q95" s="304">
        <f t="shared" ca="1" si="48"/>
        <v>750.20999999999992</v>
      </c>
      <c r="R95" s="306">
        <f t="shared" ca="1" si="49"/>
        <v>0.37649544542526359</v>
      </c>
      <c r="S95" s="307">
        <f t="shared" ca="1" si="50"/>
        <v>5.6646343809422008</v>
      </c>
      <c r="T95" s="304">
        <f t="shared" ca="1" si="30"/>
        <v>55.570063277042991</v>
      </c>
      <c r="U95" s="311">
        <f t="shared" ca="1" si="31"/>
        <v>0</v>
      </c>
      <c r="V95" s="306">
        <f t="shared" ca="1" si="32"/>
        <v>1.2085373149005654</v>
      </c>
      <c r="W95" s="304">
        <f t="shared" ca="1" si="33"/>
        <v>156.68877744438325</v>
      </c>
      <c r="Y95" s="314" t="str">
        <f t="shared" ca="1" si="51"/>
        <v/>
      </c>
      <c r="Z95" s="315" t="str">
        <f t="shared" ca="1" si="52"/>
        <v/>
      </c>
      <c r="AA95" s="316" t="str">
        <f t="shared" ca="1" si="53"/>
        <v/>
      </c>
      <c r="AC95" s="310" t="e">
        <f t="shared" ca="1" si="54"/>
        <v>#N/A</v>
      </c>
      <c r="AD95" s="323" t="e">
        <f t="shared" ca="1" si="55"/>
        <v>#N/A</v>
      </c>
      <c r="AE95" s="324">
        <f t="shared" ca="1" si="34"/>
        <v>135.29839874353465</v>
      </c>
      <c r="AG95" s="306">
        <f t="shared" ca="1" si="56"/>
        <v>95.391464241925988</v>
      </c>
      <c r="AH95" s="304">
        <f t="shared" ca="1" si="57"/>
        <v>105.03460523199143</v>
      </c>
    </row>
    <row r="96" spans="1:34" x14ac:dyDescent="0.2">
      <c r="A96" s="347">
        <f t="shared" ca="1" si="35"/>
        <v>0.01</v>
      </c>
      <c r="B96" s="304">
        <f t="shared" ca="1" si="36"/>
        <v>0.9200000000000006</v>
      </c>
      <c r="D96" s="306">
        <f t="shared" ca="1" si="37"/>
        <v>19.226423520466685</v>
      </c>
      <c r="E96" s="307">
        <f t="shared" ca="1" si="38"/>
        <v>93.046220028383729</v>
      </c>
      <c r="F96" s="304">
        <f t="shared" ca="1" si="39"/>
        <v>95.011864643099983</v>
      </c>
      <c r="G96" s="306">
        <f t="shared" ca="1" si="40"/>
        <v>36.922849094715218</v>
      </c>
      <c r="H96" s="307">
        <f t="shared" ca="1" si="41"/>
        <v>197.42926053682092</v>
      </c>
      <c r="I96" s="304">
        <f t="shared" ca="1" si="42"/>
        <v>200.85220860470275</v>
      </c>
      <c r="J96" s="306">
        <f t="shared" ca="1" si="43"/>
        <v>25.064053749769489</v>
      </c>
      <c r="K96" s="307">
        <f t="shared" ca="1" si="44"/>
        <v>137.26803903790145</v>
      </c>
      <c r="L96" s="304">
        <f t="shared" ca="1" si="29"/>
        <v>139.5375266072972</v>
      </c>
      <c r="M96" s="306">
        <f t="shared" ca="1" si="45"/>
        <v>1.3859139318798794</v>
      </c>
      <c r="N96" s="304">
        <f t="shared" ca="1" si="46"/>
        <v>79.407019065098567</v>
      </c>
      <c r="P96" s="310">
        <f t="shared" ca="1" si="47"/>
        <v>3</v>
      </c>
      <c r="Q96" s="304">
        <f t="shared" ca="1" si="48"/>
        <v>749.03</v>
      </c>
      <c r="R96" s="306">
        <f t="shared" ca="1" si="49"/>
        <v>0.37590325840349398</v>
      </c>
      <c r="S96" s="307">
        <f t="shared" ca="1" si="50"/>
        <v>5.6608753483581662</v>
      </c>
      <c r="T96" s="304">
        <f t="shared" ca="1" si="30"/>
        <v>55.533187167393613</v>
      </c>
      <c r="U96" s="311">
        <f t="shared" ca="1" si="31"/>
        <v>0</v>
      </c>
      <c r="V96" s="306">
        <f t="shared" ca="1" si="32"/>
        <v>1.2082992889109436</v>
      </c>
      <c r="W96" s="304">
        <f t="shared" ca="1" si="33"/>
        <v>158.15035175485383</v>
      </c>
      <c r="Y96" s="314" t="str">
        <f t="shared" ca="1" si="51"/>
        <v/>
      </c>
      <c r="Z96" s="315" t="str">
        <f t="shared" ca="1" si="52"/>
        <v/>
      </c>
      <c r="AA96" s="316" t="str">
        <f t="shared" ca="1" si="53"/>
        <v/>
      </c>
      <c r="AC96" s="310" t="e">
        <f t="shared" ca="1" si="54"/>
        <v>#N/A</v>
      </c>
      <c r="AD96" s="323" t="e">
        <f t="shared" ca="1" si="55"/>
        <v>#N/A</v>
      </c>
      <c r="AE96" s="324">
        <f t="shared" ca="1" si="34"/>
        <v>137.26803903790145</v>
      </c>
      <c r="AG96" s="306">
        <f t="shared" ca="1" si="56"/>
        <v>94.994764901839758</v>
      </c>
      <c r="AH96" s="304">
        <f t="shared" ca="1" si="57"/>
        <v>104.63774347679542</v>
      </c>
    </row>
    <row r="97" spans="1:34" x14ac:dyDescent="0.2">
      <c r="A97" s="347">
        <f t="shared" ca="1" si="35"/>
        <v>0.01</v>
      </c>
      <c r="B97" s="304">
        <f t="shared" ca="1" si="36"/>
        <v>0.9300000000000006</v>
      </c>
      <c r="D97" s="306">
        <f t="shared" ca="1" si="37"/>
        <v>19.162576401203236</v>
      </c>
      <c r="E97" s="307">
        <f t="shared" ca="1" si="38"/>
        <v>92.653742144194055</v>
      </c>
      <c r="F97" s="304">
        <f t="shared" ca="1" si="39"/>
        <v>94.614588027717758</v>
      </c>
      <c r="G97" s="306">
        <f t="shared" ca="1" si="40"/>
        <v>37.114474858727249</v>
      </c>
      <c r="H97" s="307">
        <f t="shared" ca="1" si="41"/>
        <v>198.35579795826285</v>
      </c>
      <c r="I97" s="304">
        <f t="shared" ca="1" si="42"/>
        <v>201.79818341030301</v>
      </c>
      <c r="J97" s="306">
        <f t="shared" ca="1" si="43"/>
        <v>25.434240369536703</v>
      </c>
      <c r="K97" s="307">
        <f t="shared" ca="1" si="44"/>
        <v>139.24696433037687</v>
      </c>
      <c r="L97" s="304">
        <f t="shared" ca="1" si="29"/>
        <v>141.55076000643945</v>
      </c>
      <c r="M97" s="306">
        <f t="shared" ca="1" si="45"/>
        <v>1.3858245662853026</v>
      </c>
      <c r="N97" s="304">
        <f t="shared" ca="1" si="46"/>
        <v>79.401898793695636</v>
      </c>
      <c r="P97" s="310">
        <f t="shared" ca="1" si="47"/>
        <v>3</v>
      </c>
      <c r="Q97" s="304">
        <f t="shared" ca="1" si="48"/>
        <v>747.84999999999991</v>
      </c>
      <c r="R97" s="306">
        <f t="shared" ca="1" si="49"/>
        <v>0.37531107138172431</v>
      </c>
      <c r="S97" s="307">
        <f t="shared" ca="1" si="50"/>
        <v>5.6571222376443488</v>
      </c>
      <c r="T97" s="304">
        <f t="shared" ca="1" si="30"/>
        <v>55.496369151291063</v>
      </c>
      <c r="U97" s="311">
        <f t="shared" ca="1" si="31"/>
        <v>0</v>
      </c>
      <c r="V97" s="306">
        <f t="shared" ca="1" si="32"/>
        <v>1.2080601877411969</v>
      </c>
      <c r="W97" s="304">
        <f t="shared" ca="1" si="33"/>
        <v>159.61198397748115</v>
      </c>
      <c r="Y97" s="314" t="str">
        <f t="shared" ca="1" si="51"/>
        <v/>
      </c>
      <c r="Z97" s="315" t="str">
        <f t="shared" ca="1" si="52"/>
        <v/>
      </c>
      <c r="AA97" s="316" t="str">
        <f t="shared" ca="1" si="53"/>
        <v/>
      </c>
      <c r="AC97" s="310" t="e">
        <f t="shared" ca="1" si="54"/>
        <v>#N/A</v>
      </c>
      <c r="AD97" s="323" t="e">
        <f t="shared" ca="1" si="55"/>
        <v>#N/A</v>
      </c>
      <c r="AE97" s="324">
        <f t="shared" ca="1" si="34"/>
        <v>139.24696433037687</v>
      </c>
      <c r="AG97" s="306">
        <f t="shared" ca="1" si="56"/>
        <v>94.597399979898569</v>
      </c>
      <c r="AH97" s="304">
        <f t="shared" ca="1" si="57"/>
        <v>104.24021675209545</v>
      </c>
    </row>
    <row r="98" spans="1:34" x14ac:dyDescent="0.2">
      <c r="A98" s="347">
        <f t="shared" ca="1" si="35"/>
        <v>0.01</v>
      </c>
      <c r="B98" s="304">
        <f t="shared" ca="1" si="36"/>
        <v>0.94000000000000061</v>
      </c>
      <c r="D98" s="306">
        <f t="shared" ca="1" si="37"/>
        <v>19.098501464962212</v>
      </c>
      <c r="E98" s="307">
        <f t="shared" ca="1" si="38"/>
        <v>92.260647969813164</v>
      </c>
      <c r="F98" s="304">
        <f t="shared" ca="1" si="39"/>
        <v>94.216664778673589</v>
      </c>
      <c r="G98" s="306">
        <f t="shared" ca="1" si="40"/>
        <v>37.305459873376869</v>
      </c>
      <c r="H98" s="307">
        <f t="shared" ca="1" si="41"/>
        <v>199.27840443796097</v>
      </c>
      <c r="I98" s="304">
        <f t="shared" ca="1" si="42"/>
        <v>202.74017808935574</v>
      </c>
      <c r="J98" s="306">
        <f t="shared" ca="1" si="43"/>
        <v>25.806340043197224</v>
      </c>
      <c r="K98" s="307">
        <f t="shared" ca="1" si="44"/>
        <v>141.23513534235798</v>
      </c>
      <c r="L98" s="304">
        <f t="shared" ca="1" si="29"/>
        <v>143.57343292405912</v>
      </c>
      <c r="M98" s="306">
        <f t="shared" ca="1" si="45"/>
        <v>1.385735573407308</v>
      </c>
      <c r="N98" s="304">
        <f t="shared" ca="1" si="46"/>
        <v>79.39679987737982</v>
      </c>
      <c r="P98" s="310">
        <f t="shared" ca="1" si="47"/>
        <v>3</v>
      </c>
      <c r="Q98" s="304">
        <f t="shared" ca="1" si="48"/>
        <v>746.67</v>
      </c>
      <c r="R98" s="306">
        <f t="shared" ca="1" si="49"/>
        <v>0.37471888435995465</v>
      </c>
      <c r="S98" s="307">
        <f t="shared" ca="1" si="50"/>
        <v>5.6533750488007497</v>
      </c>
      <c r="T98" s="304">
        <f t="shared" ca="1" si="30"/>
        <v>55.45960922873536</v>
      </c>
      <c r="U98" s="311">
        <f t="shared" ca="1" si="31"/>
        <v>0</v>
      </c>
      <c r="V98" s="306">
        <f t="shared" ca="1" si="32"/>
        <v>1.2078200167833006</v>
      </c>
      <c r="W98" s="304">
        <f t="shared" ca="1" si="33"/>
        <v>161.07357170756922</v>
      </c>
      <c r="Y98" s="314" t="str">
        <f t="shared" ca="1" si="51"/>
        <v/>
      </c>
      <c r="Z98" s="315" t="str">
        <f t="shared" ca="1" si="52"/>
        <v/>
      </c>
      <c r="AA98" s="316" t="str">
        <f t="shared" ca="1" si="53"/>
        <v/>
      </c>
      <c r="AC98" s="310" t="e">
        <f t="shared" ca="1" si="54"/>
        <v>#N/A</v>
      </c>
      <c r="AD98" s="323" t="e">
        <f t="shared" ca="1" si="55"/>
        <v>#N/A</v>
      </c>
      <c r="AE98" s="324">
        <f t="shared" ca="1" si="34"/>
        <v>141.23513534235798</v>
      </c>
      <c r="AG98" s="306">
        <f t="shared" ca="1" si="56"/>
        <v>94.199387622876102</v>
      </c>
      <c r="AH98" s="304">
        <f t="shared" ca="1" si="57"/>
        <v>103.84204319631181</v>
      </c>
    </row>
    <row r="99" spans="1:34" x14ac:dyDescent="0.2">
      <c r="A99" s="347">
        <f t="shared" ca="1" si="35"/>
        <v>0.01</v>
      </c>
      <c r="B99" s="304">
        <f t="shared" ca="1" si="36"/>
        <v>0.95000000000000062</v>
      </c>
      <c r="D99" s="306">
        <f t="shared" ca="1" si="37"/>
        <v>19.034202835118133</v>
      </c>
      <c r="E99" s="307">
        <f t="shared" ca="1" si="38"/>
        <v>91.866955158990365</v>
      </c>
      <c r="F99" s="304">
        <f t="shared" ca="1" si="39"/>
        <v>93.818113004645141</v>
      </c>
      <c r="G99" s="306">
        <f t="shared" ca="1" si="40"/>
        <v>37.495801901728051</v>
      </c>
      <c r="H99" s="307">
        <f t="shared" ca="1" si="41"/>
        <v>200.19707398955089</v>
      </c>
      <c r="I99" s="304">
        <f t="shared" ca="1" si="42"/>
        <v>203.67818634854186</v>
      </c>
      <c r="J99" s="306">
        <f t="shared" ca="1" si="43"/>
        <v>26.18034635207275</v>
      </c>
      <c r="K99" s="307">
        <f t="shared" ca="1" si="44"/>
        <v>143.23251273449554</v>
      </c>
      <c r="L99" s="304">
        <f t="shared" ca="1" si="29"/>
        <v>145.60550552555324</v>
      </c>
      <c r="M99" s="306">
        <f t="shared" ca="1" si="45"/>
        <v>1.3856469482410003</v>
      </c>
      <c r="N99" s="304">
        <f t="shared" ca="1" si="46"/>
        <v>79.391722029391744</v>
      </c>
      <c r="P99" s="310">
        <f t="shared" ca="1" si="47"/>
        <v>3</v>
      </c>
      <c r="Q99" s="304">
        <f t="shared" ca="1" si="48"/>
        <v>745.4899999999999</v>
      </c>
      <c r="R99" s="306">
        <f t="shared" ca="1" si="49"/>
        <v>0.37412669733818499</v>
      </c>
      <c r="S99" s="307">
        <f t="shared" ca="1" si="50"/>
        <v>5.6496337818273679</v>
      </c>
      <c r="T99" s="304">
        <f t="shared" ca="1" si="30"/>
        <v>55.422907399726483</v>
      </c>
      <c r="U99" s="311">
        <f t="shared" ca="1" si="31"/>
        <v>0</v>
      </c>
      <c r="V99" s="306">
        <f t="shared" ca="1" si="32"/>
        <v>1.2075787814355188</v>
      </c>
      <c r="W99" s="304">
        <f t="shared" ca="1" si="33"/>
        <v>162.53501311226563</v>
      </c>
      <c r="Y99" s="314" t="str">
        <f t="shared" ca="1" si="51"/>
        <v/>
      </c>
      <c r="Z99" s="315" t="str">
        <f t="shared" ca="1" si="52"/>
        <v/>
      </c>
      <c r="AA99" s="316" t="str">
        <f t="shared" ca="1" si="53"/>
        <v/>
      </c>
      <c r="AC99" s="310" t="e">
        <f t="shared" ca="1" si="54"/>
        <v>#N/A</v>
      </c>
      <c r="AD99" s="323" t="e">
        <f t="shared" ca="1" si="55"/>
        <v>#N/A</v>
      </c>
      <c r="AE99" s="324">
        <f t="shared" ca="1" si="34"/>
        <v>143.23251273449554</v>
      </c>
      <c r="AG99" s="306">
        <f t="shared" ca="1" si="56"/>
        <v>93.800745929910789</v>
      </c>
      <c r="AH99" s="304">
        <f t="shared" ca="1" si="57"/>
        <v>103.44324090036892</v>
      </c>
    </row>
    <row r="100" spans="1:34" x14ac:dyDescent="0.2">
      <c r="A100" s="347">
        <f t="shared" ca="1" si="35"/>
        <v>0.01</v>
      </c>
      <c r="B100" s="304">
        <f t="shared" ca="1" si="36"/>
        <v>0.96000000000000063</v>
      </c>
      <c r="D100" s="306">
        <f t="shared" ca="1" si="37"/>
        <v>18.969684616799857</v>
      </c>
      <c r="E100" s="307">
        <f t="shared" ca="1" si="38"/>
        <v>91.472681318329208</v>
      </c>
      <c r="F100" s="304">
        <f t="shared" ca="1" si="39"/>
        <v>93.418950764957032</v>
      </c>
      <c r="G100" s="306">
        <f t="shared" ca="1" si="40"/>
        <v>37.685498747896048</v>
      </c>
      <c r="H100" s="307">
        <f t="shared" ca="1" si="41"/>
        <v>201.11180080273417</v>
      </c>
      <c r="I100" s="304">
        <f t="shared" ca="1" si="42"/>
        <v>204.61220207503828</v>
      </c>
      <c r="J100" s="306">
        <f t="shared" ca="1" si="43"/>
        <v>26.556252855320871</v>
      </c>
      <c r="K100" s="307">
        <f t="shared" ca="1" si="44"/>
        <v>145.23905710845696</v>
      </c>
      <c r="L100" s="304">
        <f t="shared" ca="1" si="29"/>
        <v>147.64693791430068</v>
      </c>
      <c r="M100" s="306">
        <f t="shared" ca="1" si="45"/>
        <v>1.385558685866805</v>
      </c>
      <c r="N100" s="304">
        <f t="shared" ca="1" si="46"/>
        <v>79.386664967860554</v>
      </c>
      <c r="P100" s="310">
        <f t="shared" ca="1" si="47"/>
        <v>3</v>
      </c>
      <c r="Q100" s="304">
        <f t="shared" ca="1" si="48"/>
        <v>744.31</v>
      </c>
      <c r="R100" s="306">
        <f t="shared" ca="1" si="49"/>
        <v>0.37353451031641538</v>
      </c>
      <c r="S100" s="307">
        <f t="shared" ca="1" si="50"/>
        <v>5.6458984367242033</v>
      </c>
      <c r="T100" s="304">
        <f t="shared" ca="1" si="30"/>
        <v>55.38626366426444</v>
      </c>
      <c r="U100" s="311">
        <f t="shared" ca="1" si="31"/>
        <v>0</v>
      </c>
      <c r="V100" s="306">
        <f t="shared" ca="1" si="32"/>
        <v>1.2073364871021395</v>
      </c>
      <c r="W100" s="304">
        <f t="shared" ca="1" si="33"/>
        <v>163.99620693884296</v>
      </c>
      <c r="Y100" s="314" t="str">
        <f t="shared" ca="1" si="51"/>
        <v/>
      </c>
      <c r="Z100" s="315" t="str">
        <f t="shared" ca="1" si="52"/>
        <v/>
      </c>
      <c r="AA100" s="316" t="str">
        <f t="shared" ca="1" si="53"/>
        <v/>
      </c>
      <c r="AC100" s="310" t="e">
        <f t="shared" ca="1" si="54"/>
        <v>#N/A</v>
      </c>
      <c r="AD100" s="323" t="e">
        <f t="shared" ca="1" si="55"/>
        <v>#N/A</v>
      </c>
      <c r="AE100" s="324">
        <f t="shared" ca="1" si="34"/>
        <v>145.23905710845696</v>
      </c>
      <c r="AG100" s="306">
        <f t="shared" ca="1" si="56"/>
        <v>93.401492950666878</v>
      </c>
      <c r="AH100" s="304">
        <f t="shared" ca="1" si="57"/>
        <v>103.04382790585318</v>
      </c>
    </row>
    <row r="101" spans="1:34" x14ac:dyDescent="0.2">
      <c r="A101" s="347">
        <f t="shared" ca="1" si="35"/>
        <v>0.01</v>
      </c>
      <c r="B101" s="304">
        <f t="shared" ca="1" si="36"/>
        <v>0.97000000000000064</v>
      </c>
      <c r="D101" s="306">
        <f t="shared" ca="1" si="37"/>
        <v>18.904950896814395</v>
      </c>
      <c r="E101" s="307">
        <f t="shared" ca="1" si="38"/>
        <v>91.077844005457706</v>
      </c>
      <c r="F101" s="304">
        <f t="shared" ca="1" si="39"/>
        <v>93.019196067765776</v>
      </c>
      <c r="G101" s="306">
        <f t="shared" ca="1" si="40"/>
        <v>37.874548256864195</v>
      </c>
      <c r="H101" s="307">
        <f t="shared" ca="1" si="41"/>
        <v>202.02257924278874</v>
      </c>
      <c r="I101" s="304">
        <f t="shared" ca="1" si="42"/>
        <v>205.54221933600499</v>
      </c>
      <c r="J101" s="306">
        <f t="shared" ca="1" si="43"/>
        <v>26.934053090344673</v>
      </c>
      <c r="K101" s="307">
        <f t="shared" ca="1" si="44"/>
        <v>147.25472900868456</v>
      </c>
      <c r="L101" s="304">
        <f t="shared" ca="1" si="29"/>
        <v>149.69769013346411</v>
      </c>
      <c r="M101" s="306">
        <f t="shared" ca="1" si="45"/>
        <v>1.3854707814485006</v>
      </c>
      <c r="N101" s="304">
        <f t="shared" ca="1" si="46"/>
        <v>79.381628415691154</v>
      </c>
      <c r="P101" s="310">
        <f t="shared" ca="1" si="47"/>
        <v>3</v>
      </c>
      <c r="Q101" s="304">
        <f t="shared" ca="1" si="48"/>
        <v>743.12999999999988</v>
      </c>
      <c r="R101" s="306">
        <f t="shared" ca="1" si="49"/>
        <v>0.37294232329464566</v>
      </c>
      <c r="S101" s="307">
        <f t="shared" ca="1" si="50"/>
        <v>5.642169013491257</v>
      </c>
      <c r="T101" s="304">
        <f t="shared" ca="1" si="30"/>
        <v>55.349678022349231</v>
      </c>
      <c r="U101" s="311">
        <f t="shared" ca="1" si="31"/>
        <v>0</v>
      </c>
      <c r="V101" s="306">
        <f t="shared" ca="1" si="32"/>
        <v>1.2070931391932114</v>
      </c>
      <c r="W101" s="304">
        <f t="shared" ca="1" si="33"/>
        <v>165.45705252282119</v>
      </c>
      <c r="Y101" s="314" t="str">
        <f t="shared" ca="1" si="51"/>
        <v/>
      </c>
      <c r="Z101" s="315" t="str">
        <f t="shared" ca="1" si="52"/>
        <v/>
      </c>
      <c r="AA101" s="316" t="str">
        <f t="shared" ca="1" si="53"/>
        <v/>
      </c>
      <c r="AC101" s="310" t="e">
        <f t="shared" ca="1" si="54"/>
        <v>#N/A</v>
      </c>
      <c r="AD101" s="323" t="e">
        <f t="shared" ca="1" si="55"/>
        <v>#N/A</v>
      </c>
      <c r="AE101" s="324">
        <f t="shared" ca="1" si="34"/>
        <v>147.25472900868456</v>
      </c>
      <c r="AG101" s="306">
        <f t="shared" ca="1" si="56"/>
        <v>93.001646683516739</v>
      </c>
      <c r="AH101" s="304">
        <f t="shared" ca="1" si="57"/>
        <v>102.6438222031922</v>
      </c>
    </row>
    <row r="102" spans="1:34" x14ac:dyDescent="0.2">
      <c r="A102" s="347">
        <f t="shared" ca="1" si="35"/>
        <v>0.01</v>
      </c>
      <c r="B102" s="304">
        <f t="shared" ca="1" si="36"/>
        <v>0.98000000000000065</v>
      </c>
      <c r="D102" s="306">
        <f t="shared" ca="1" si="37"/>
        <v>18.840005743566113</v>
      </c>
      <c r="E102" s="307">
        <f t="shared" ca="1" si="38"/>
        <v>90.682460727221525</v>
      </c>
      <c r="F102" s="304">
        <f t="shared" ca="1" si="39"/>
        <v>92.618866868266522</v>
      </c>
      <c r="G102" s="306">
        <f t="shared" ca="1" si="40"/>
        <v>38.062948314299852</v>
      </c>
      <c r="H102" s="307">
        <f t="shared" ca="1" si="41"/>
        <v>202.92940385006096</v>
      </c>
      <c r="I102" s="304">
        <f t="shared" ca="1" si="42"/>
        <v>206.46823237805421</v>
      </c>
      <c r="J102" s="306">
        <f t="shared" ca="1" si="43"/>
        <v>27.313740573200494</v>
      </c>
      <c r="K102" s="307">
        <f t="shared" ca="1" si="44"/>
        <v>149.27948892414881</v>
      </c>
      <c r="L102" s="304">
        <f t="shared" ca="1" si="29"/>
        <v>151.7577221677868</v>
      </c>
      <c r="M102" s="306">
        <f t="shared" ca="1" si="45"/>
        <v>1.3853832302313092</v>
      </c>
      <c r="N102" s="304">
        <f t="shared" ca="1" si="46"/>
        <v>79.376612100454849</v>
      </c>
      <c r="P102" s="310">
        <f t="shared" ca="1" si="47"/>
        <v>3</v>
      </c>
      <c r="Q102" s="304">
        <f t="shared" ca="1" si="48"/>
        <v>741.94999999999993</v>
      </c>
      <c r="R102" s="306">
        <f t="shared" ca="1" si="49"/>
        <v>0.37235013627287605</v>
      </c>
      <c r="S102" s="307">
        <f t="shared" ca="1" si="50"/>
        <v>5.638445512128528</v>
      </c>
      <c r="T102" s="304">
        <f t="shared" ca="1" si="30"/>
        <v>55.313150473980862</v>
      </c>
      <c r="U102" s="311">
        <f t="shared" ca="1" si="31"/>
        <v>0</v>
      </c>
      <c r="V102" s="306">
        <f t="shared" ca="1" si="32"/>
        <v>1.2068487431242789</v>
      </c>
      <c r="W102" s="304">
        <f t="shared" ca="1" si="33"/>
        <v>166.91744979593065</v>
      </c>
      <c r="Y102" s="314" t="str">
        <f t="shared" ca="1" si="51"/>
        <v/>
      </c>
      <c r="Z102" s="315" t="str">
        <f t="shared" ca="1" si="52"/>
        <v/>
      </c>
      <c r="AA102" s="316" t="str">
        <f t="shared" ca="1" si="53"/>
        <v/>
      </c>
      <c r="AC102" s="310" t="e">
        <f t="shared" ca="1" si="54"/>
        <v>#N/A</v>
      </c>
      <c r="AD102" s="323" t="e">
        <f t="shared" ca="1" si="55"/>
        <v>#N/A</v>
      </c>
      <c r="AE102" s="324">
        <f t="shared" ca="1" si="34"/>
        <v>149.27948892414881</v>
      </c>
      <c r="AG102" s="306">
        <f t="shared" ca="1" si="56"/>
        <v>92.601225073745113</v>
      </c>
      <c r="AH102" s="304">
        <f t="shared" ca="1" si="57"/>
        <v>102.243241729856</v>
      </c>
    </row>
    <row r="103" spans="1:34" x14ac:dyDescent="0.2">
      <c r="A103" s="347">
        <f t="shared" ca="1" si="35"/>
        <v>0.01</v>
      </c>
      <c r="B103" s="304">
        <f t="shared" ca="1" si="36"/>
        <v>0.99000000000000066</v>
      </c>
      <c r="D103" s="306">
        <f t="shared" ca="1" si="37"/>
        <v>18.774853206971201</v>
      </c>
      <c r="E103" s="307">
        <f t="shared" ca="1" si="38"/>
        <v>90.286548937899894</v>
      </c>
      <c r="F103" s="304">
        <f t="shared" ca="1" si="39"/>
        <v>92.217981066921595</v>
      </c>
      <c r="G103" s="306">
        <f t="shared" ca="1" si="40"/>
        <v>38.250696846369564</v>
      </c>
      <c r="H103" s="307">
        <f t="shared" ca="1" si="41"/>
        <v>203.83226933943996</v>
      </c>
      <c r="I103" s="304">
        <f t="shared" ca="1" si="42"/>
        <v>207.39023562670175</v>
      </c>
      <c r="J103" s="306">
        <f t="shared" ca="1" si="43"/>
        <v>27.69530879900384</v>
      </c>
      <c r="K103" s="307">
        <f t="shared" ca="1" si="44"/>
        <v>151.3132972900963</v>
      </c>
      <c r="L103" s="304">
        <f t="shared" ca="1" si="29"/>
        <v>153.82699394538412</v>
      </c>
      <c r="M103" s="306">
        <f t="shared" ca="1" si="45"/>
        <v>1.3852960275400403</v>
      </c>
      <c r="N103" s="304">
        <f t="shared" ca="1" si="46"/>
        <v>79.371615754282971</v>
      </c>
      <c r="P103" s="310">
        <f t="shared" ca="1" si="47"/>
        <v>3</v>
      </c>
      <c r="Q103" s="304">
        <f t="shared" ca="1" si="48"/>
        <v>740.77</v>
      </c>
      <c r="R103" s="306">
        <f t="shared" ca="1" si="49"/>
        <v>0.37175794925110639</v>
      </c>
      <c r="S103" s="307">
        <f t="shared" ca="1" si="50"/>
        <v>5.6347279326360171</v>
      </c>
      <c r="T103" s="304">
        <f t="shared" ca="1" si="30"/>
        <v>55.276681019159334</v>
      </c>
      <c r="U103" s="311">
        <f t="shared" ca="1" si="31"/>
        <v>0</v>
      </c>
      <c r="V103" s="306">
        <f t="shared" ca="1" si="32"/>
        <v>1.2066033043161217</v>
      </c>
      <c r="W103" s="304">
        <f t="shared" ca="1" si="33"/>
        <v>168.37729929391517</v>
      </c>
      <c r="Y103" s="314" t="str">
        <f t="shared" ca="1" si="51"/>
        <v/>
      </c>
      <c r="Z103" s="315" t="str">
        <f t="shared" ca="1" si="52"/>
        <v/>
      </c>
      <c r="AA103" s="316" t="str">
        <f t="shared" ca="1" si="53"/>
        <v/>
      </c>
      <c r="AC103" s="310" t="e">
        <f t="shared" ca="1" si="54"/>
        <v>#N/A</v>
      </c>
      <c r="AD103" s="323" t="e">
        <f t="shared" ca="1" si="55"/>
        <v>#N/A</v>
      </c>
      <c r="AE103" s="324">
        <f t="shared" ca="1" si="34"/>
        <v>151.3132972900963</v>
      </c>
      <c r="AG103" s="306">
        <f t="shared" ca="1" si="56"/>
        <v>92.200246011774823</v>
      </c>
      <c r="AH103" s="304">
        <f t="shared" ca="1" si="57"/>
        <v>101.84210436857983</v>
      </c>
    </row>
    <row r="104" spans="1:34" x14ac:dyDescent="0.2">
      <c r="A104" s="347">
        <f t="shared" ca="1" si="35"/>
        <v>0.01</v>
      </c>
      <c r="B104" s="304">
        <f t="shared" ca="1" si="36"/>
        <v>1.0000000000000007</v>
      </c>
      <c r="D104" s="306">
        <f t="shared" ca="1" si="37"/>
        <v>18.709497318368133</v>
      </c>
      <c r="E104" s="307">
        <f t="shared" ca="1" si="38"/>
        <v>89.890126037444887</v>
      </c>
      <c r="F104" s="304">
        <f t="shared" ca="1" si="39"/>
        <v>91.816556507711354</v>
      </c>
      <c r="G104" s="306">
        <f t="shared" ca="1" si="40"/>
        <v>38.437791819553247</v>
      </c>
      <c r="H104" s="307">
        <f t="shared" ca="1" si="41"/>
        <v>204.73117059981442</v>
      </c>
      <c r="I104" s="304">
        <f t="shared" ca="1" si="42"/>
        <v>208.30822368580081</v>
      </c>
      <c r="J104" s="306">
        <f t="shared" ca="1" si="43"/>
        <v>28.078751242333453</v>
      </c>
      <c r="K104" s="307">
        <f t="shared" ca="1" si="44"/>
        <v>153.35611448979256</v>
      </c>
      <c r="L104" s="304">
        <f t="shared" ca="1" si="29"/>
        <v>155.9054653395294</v>
      </c>
      <c r="M104" s="306">
        <f t="shared" ca="1" si="45"/>
        <v>1.3852091687772878</v>
      </c>
      <c r="N104" s="304">
        <f t="shared" ca="1" si="46"/>
        <v>79.366639113763526</v>
      </c>
      <c r="P104" s="310">
        <f t="shared" ca="1" si="47"/>
        <v>3</v>
      </c>
      <c r="Q104" s="304">
        <f t="shared" ca="1" si="48"/>
        <v>739.58999999999992</v>
      </c>
      <c r="R104" s="306">
        <f t="shared" ca="1" si="49"/>
        <v>0.37116576222933673</v>
      </c>
      <c r="S104" s="307">
        <f t="shared" ca="1" si="50"/>
        <v>5.6310162750137236</v>
      </c>
      <c r="T104" s="304">
        <f t="shared" ca="1" si="30"/>
        <v>55.240269657884632</v>
      </c>
      <c r="U104" s="311">
        <f t="shared" ca="1" si="31"/>
        <v>0</v>
      </c>
      <c r="V104" s="306">
        <f t="shared" ca="1" si="32"/>
        <v>1.2063568281944932</v>
      </c>
      <c r="W104" s="304">
        <f t="shared" ca="1" si="33"/>
        <v>169.83650216417544</v>
      </c>
      <c r="Y104" s="314" t="str">
        <f t="shared" ca="1" si="51"/>
        <v/>
      </c>
      <c r="Z104" s="315" t="str">
        <f t="shared" ca="1" si="52"/>
        <v/>
      </c>
      <c r="AA104" s="316" t="str">
        <f t="shared" ca="1" si="53"/>
        <v/>
      </c>
      <c r="AC104" s="310">
        <f t="shared" ca="1" si="54"/>
        <v>1.0000000000000007</v>
      </c>
      <c r="AD104" s="323">
        <f t="shared" ca="1" si="55"/>
        <v>28.078751242333453</v>
      </c>
      <c r="AE104" s="324">
        <f t="shared" ca="1" si="34"/>
        <v>153.35611448979256</v>
      </c>
      <c r="AG104" s="306">
        <f t="shared" ca="1" si="56"/>
        <v>91.798727331415151</v>
      </c>
      <c r="AH104" s="304">
        <f t="shared" ca="1" si="57"/>
        <v>101.44042794560963</v>
      </c>
    </row>
    <row r="105" spans="1:34" x14ac:dyDescent="0.2">
      <c r="A105" s="347">
        <f t="shared" ca="1" si="35"/>
        <v>0.01</v>
      </c>
      <c r="B105" s="304">
        <f t="shared" ca="1" si="36"/>
        <v>1.0100000000000007</v>
      </c>
      <c r="D105" s="306">
        <f t="shared" ca="1" si="37"/>
        <v>18.637052545993178</v>
      </c>
      <c r="E105" s="307">
        <f t="shared" ca="1" si="38"/>
        <v>89.456513596404207</v>
      </c>
      <c r="F105" s="304">
        <f t="shared" ca="1" si="39"/>
        <v>91.377281380142634</v>
      </c>
      <c r="G105" s="306">
        <f t="shared" ca="1" si="40"/>
        <v>38.624162345013183</v>
      </c>
      <c r="H105" s="307">
        <f t="shared" ca="1" si="41"/>
        <v>205.62573573577845</v>
      </c>
      <c r="I105" s="304">
        <f t="shared" ca="1" si="42"/>
        <v>209.22181796775911</v>
      </c>
      <c r="J105" s="306">
        <f t="shared" ca="1" si="43"/>
        <v>28.464061013156286</v>
      </c>
      <c r="K105" s="307">
        <f t="shared" ca="1" si="44"/>
        <v>155.40789902147051</v>
      </c>
      <c r="L105" s="304">
        <f t="shared" ca="1" si="29"/>
        <v>157.99309430360637</v>
      </c>
      <c r="M105" s="306">
        <f t="shared" ca="1" si="45"/>
        <v>1.3851226492672777</v>
      </c>
      <c r="N105" s="304">
        <f t="shared" ca="1" si="46"/>
        <v>79.361681910994406</v>
      </c>
      <c r="P105" s="310">
        <f t="shared" ca="1" si="47"/>
        <v>4</v>
      </c>
      <c r="Q105" s="304">
        <f t="shared" ca="1" si="48"/>
        <v>738.19999999999982</v>
      </c>
      <c r="R105" s="306">
        <f t="shared" ca="1" si="49"/>
        <v>0.37046818599182835</v>
      </c>
      <c r="S105" s="307">
        <f t="shared" ca="1" si="50"/>
        <v>5.6273115931538049</v>
      </c>
      <c r="T105" s="304">
        <f t="shared" ca="1" si="30"/>
        <v>55.20392672883883</v>
      </c>
      <c r="U105" s="311">
        <f t="shared" ca="1" si="31"/>
        <v>0</v>
      </c>
      <c r="V105" s="306">
        <f t="shared" ca="1" si="32"/>
        <v>1.2061093204111695</v>
      </c>
      <c r="W105" s="304">
        <f t="shared" ca="1" si="33"/>
        <v>171.29434883354003</v>
      </c>
      <c r="Y105" s="314" t="str">
        <f t="shared" ca="1" si="51"/>
        <v/>
      </c>
      <c r="Z105" s="315" t="str">
        <f t="shared" ca="1" si="52"/>
        <v/>
      </c>
      <c r="AA105" s="316" t="str">
        <f t="shared" ca="1" si="53"/>
        <v/>
      </c>
      <c r="AC105" s="310" t="e">
        <f t="shared" ca="1" si="54"/>
        <v>#N/A</v>
      </c>
      <c r="AD105" s="323" t="e">
        <f t="shared" ca="1" si="55"/>
        <v>#N/A</v>
      </c>
      <c r="AE105" s="324">
        <f t="shared" ca="1" si="34"/>
        <v>155.40789902147051</v>
      </c>
      <c r="AG105" s="306">
        <f t="shared" ca="1" si="56"/>
        <v>91.359349888019977</v>
      </c>
      <c r="AH105" s="304">
        <f t="shared" ca="1" si="57"/>
        <v>101.00089330885748</v>
      </c>
    </row>
    <row r="106" spans="1:34" x14ac:dyDescent="0.2">
      <c r="A106" s="347">
        <f t="shared" ca="1" si="35"/>
        <v>0.01</v>
      </c>
      <c r="B106" s="304">
        <f t="shared" ca="1" si="36"/>
        <v>1.0200000000000007</v>
      </c>
      <c r="D106" s="306">
        <f t="shared" ca="1" si="37"/>
        <v>18.557516410570184</v>
      </c>
      <c r="E106" s="307">
        <f t="shared" ca="1" si="38"/>
        <v>88.985746850545027</v>
      </c>
      <c r="F106" s="304">
        <f t="shared" ca="1" si="39"/>
        <v>90.900190087138242</v>
      </c>
      <c r="G106" s="306">
        <f t="shared" ca="1" si="40"/>
        <v>38.809737509118882</v>
      </c>
      <c r="H106" s="307">
        <f t="shared" ca="1" si="41"/>
        <v>206.5155932042839</v>
      </c>
      <c r="I106" s="304">
        <f t="shared" ca="1" si="42"/>
        <v>210.13064022660757</v>
      </c>
      <c r="J106" s="306">
        <f t="shared" ca="1" si="43"/>
        <v>28.851230512426945</v>
      </c>
      <c r="K106" s="307">
        <f t="shared" ca="1" si="44"/>
        <v>157.46860566617082</v>
      </c>
      <c r="L106" s="304">
        <f t="shared" ca="1" si="29"/>
        <v>160.08983500687731</v>
      </c>
      <c r="M106" s="306">
        <f t="shared" ca="1" si="45"/>
        <v>1.3850364642592148</v>
      </c>
      <c r="N106" s="304">
        <f t="shared" ca="1" si="46"/>
        <v>79.356743873775102</v>
      </c>
      <c r="P106" s="310">
        <f t="shared" ca="1" si="47"/>
        <v>4</v>
      </c>
      <c r="Q106" s="304">
        <f t="shared" ca="1" si="48"/>
        <v>736.59999999999991</v>
      </c>
      <c r="R106" s="306">
        <f t="shared" ca="1" si="49"/>
        <v>0.36966522053858142</v>
      </c>
      <c r="S106" s="307">
        <f t="shared" ca="1" si="50"/>
        <v>5.6236149409484195</v>
      </c>
      <c r="T106" s="304">
        <f t="shared" ca="1" si="30"/>
        <v>55.167662570703996</v>
      </c>
      <c r="U106" s="311">
        <f t="shared" ca="1" si="31"/>
        <v>0</v>
      </c>
      <c r="V106" s="306">
        <f t="shared" ca="1" si="32"/>
        <v>1.2058607870646183</v>
      </c>
      <c r="W106" s="304">
        <f t="shared" ca="1" si="33"/>
        <v>172.75012056700263</v>
      </c>
      <c r="Y106" s="314" t="str">
        <f t="shared" ca="1" si="51"/>
        <v/>
      </c>
      <c r="Z106" s="315" t="str">
        <f t="shared" ca="1" si="52"/>
        <v/>
      </c>
      <c r="AA106" s="316" t="str">
        <f t="shared" ca="1" si="53"/>
        <v/>
      </c>
      <c r="AC106" s="310" t="e">
        <f t="shared" ca="1" si="54"/>
        <v>#N/A</v>
      </c>
      <c r="AD106" s="323" t="e">
        <f t="shared" ca="1" si="55"/>
        <v>#N/A</v>
      </c>
      <c r="AE106" s="324">
        <f t="shared" ca="1" si="34"/>
        <v>157.46860566617082</v>
      </c>
      <c r="AG106" s="306">
        <f t="shared" ca="1" si="56"/>
        <v>90.882147843841423</v>
      </c>
      <c r="AH106" s="304">
        <f t="shared" ca="1" si="57"/>
        <v>100.5235346129729</v>
      </c>
    </row>
    <row r="107" spans="1:34" x14ac:dyDescent="0.2">
      <c r="A107" s="347">
        <f t="shared" ca="1" si="35"/>
        <v>0.01</v>
      </c>
      <c r="B107" s="304">
        <f t="shared" ca="1" si="36"/>
        <v>1.0300000000000007</v>
      </c>
      <c r="D107" s="306">
        <f t="shared" ca="1" si="37"/>
        <v>18.477791868661598</v>
      </c>
      <c r="E107" s="307">
        <f t="shared" ca="1" si="38"/>
        <v>88.514605982334487</v>
      </c>
      <c r="F107" s="304">
        <f t="shared" ca="1" si="39"/>
        <v>90.422697728775489</v>
      </c>
      <c r="G107" s="306">
        <f t="shared" ca="1" si="40"/>
        <v>38.994515427805496</v>
      </c>
      <c r="H107" s="307">
        <f t="shared" ca="1" si="41"/>
        <v>207.40073926410724</v>
      </c>
      <c r="I107" s="304">
        <f t="shared" ca="1" si="42"/>
        <v>211.03468643980676</v>
      </c>
      <c r="J107" s="306">
        <f t="shared" ca="1" si="43"/>
        <v>29.240251777111567</v>
      </c>
      <c r="K107" s="307">
        <f t="shared" ca="1" si="44"/>
        <v>159.53818732851278</v>
      </c>
      <c r="L107" s="304">
        <f t="shared" ca="1" si="29"/>
        <v>162.19563970728842</v>
      </c>
      <c r="M107" s="306">
        <f t="shared" ca="1" si="45"/>
        <v>1.3849506090825594</v>
      </c>
      <c r="N107" s="304">
        <f t="shared" ca="1" si="46"/>
        <v>79.351824734503396</v>
      </c>
      <c r="P107" s="310">
        <f t="shared" ca="1" si="47"/>
        <v>4</v>
      </c>
      <c r="Q107" s="304">
        <f t="shared" ca="1" si="48"/>
        <v>734.99999999999989</v>
      </c>
      <c r="R107" s="306">
        <f t="shared" ca="1" si="49"/>
        <v>0.36886225508533443</v>
      </c>
      <c r="S107" s="307">
        <f t="shared" ca="1" si="50"/>
        <v>5.6199263183975665</v>
      </c>
      <c r="T107" s="304">
        <f t="shared" ca="1" si="30"/>
        <v>55.131477183480129</v>
      </c>
      <c r="U107" s="311">
        <f t="shared" ca="1" si="31"/>
        <v>0</v>
      </c>
      <c r="V107" s="306">
        <f t="shared" ca="1" si="32"/>
        <v>1.2056112344775569</v>
      </c>
      <c r="W107" s="304">
        <f t="shared" ca="1" si="33"/>
        <v>174.20370686139827</v>
      </c>
      <c r="Y107" s="314" t="str">
        <f t="shared" ca="1" si="51"/>
        <v/>
      </c>
      <c r="Z107" s="315" t="str">
        <f t="shared" ca="1" si="52"/>
        <v/>
      </c>
      <c r="AA107" s="316" t="str">
        <f t="shared" ca="1" si="53"/>
        <v/>
      </c>
      <c r="AC107" s="310" t="e">
        <f t="shared" ca="1" si="54"/>
        <v>#N/A</v>
      </c>
      <c r="AD107" s="323" t="e">
        <f t="shared" ca="1" si="55"/>
        <v>#N/A</v>
      </c>
      <c r="AE107" s="324">
        <f t="shared" ca="1" si="34"/>
        <v>159.53818732851278</v>
      </c>
      <c r="AG107" s="306">
        <f t="shared" ca="1" si="56"/>
        <v>90.404543541911821</v>
      </c>
      <c r="AH107" s="304">
        <f t="shared" ca="1" si="57"/>
        <v>100.04577419323068</v>
      </c>
    </row>
    <row r="108" spans="1:34" x14ac:dyDescent="0.2">
      <c r="A108" s="347">
        <f t="shared" ca="1" si="35"/>
        <v>0.01</v>
      </c>
      <c r="B108" s="304">
        <f t="shared" ca="1" si="36"/>
        <v>1.0400000000000007</v>
      </c>
      <c r="D108" s="306">
        <f t="shared" ca="1" si="37"/>
        <v>18.397883617914065</v>
      </c>
      <c r="E108" s="307">
        <f t="shared" ca="1" si="38"/>
        <v>88.043111428319747</v>
      </c>
      <c r="F108" s="304">
        <f t="shared" ca="1" si="39"/>
        <v>89.944825263034659</v>
      </c>
      <c r="G108" s="306">
        <f t="shared" ca="1" si="40"/>
        <v>39.178494263984639</v>
      </c>
      <c r="H108" s="307">
        <f t="shared" ca="1" si="41"/>
        <v>208.28117037839044</v>
      </c>
      <c r="I108" s="304">
        <f t="shared" ca="1" si="42"/>
        <v>211.93395279422595</v>
      </c>
      <c r="J108" s="306">
        <f t="shared" ca="1" si="43"/>
        <v>29.631116825570519</v>
      </c>
      <c r="K108" s="307">
        <f t="shared" ca="1" si="44"/>
        <v>161.61659687672525</v>
      </c>
      <c r="L108" s="304">
        <f t="shared" ca="1" si="29"/>
        <v>164.31046062361497</v>
      </c>
      <c r="M108" s="306">
        <f t="shared" ca="1" si="45"/>
        <v>1.3848650791451691</v>
      </c>
      <c r="N108" s="304">
        <f t="shared" ca="1" si="46"/>
        <v>79.346924230068907</v>
      </c>
      <c r="P108" s="310">
        <f t="shared" ca="1" si="47"/>
        <v>4</v>
      </c>
      <c r="Q108" s="304">
        <f t="shared" ca="1" si="48"/>
        <v>733.39999999999986</v>
      </c>
      <c r="R108" s="306">
        <f t="shared" ca="1" si="49"/>
        <v>0.36805928963208739</v>
      </c>
      <c r="S108" s="307">
        <f t="shared" ca="1" si="50"/>
        <v>5.6162457255012459</v>
      </c>
      <c r="T108" s="304">
        <f t="shared" ca="1" si="30"/>
        <v>55.095370567167222</v>
      </c>
      <c r="U108" s="311">
        <f t="shared" ca="1" si="31"/>
        <v>0</v>
      </c>
      <c r="V108" s="306">
        <f t="shared" ca="1" si="32"/>
        <v>1.2053606689748624</v>
      </c>
      <c r="W108" s="304">
        <f t="shared" ca="1" si="33"/>
        <v>175.65499811023324</v>
      </c>
      <c r="Y108" s="314" t="str">
        <f t="shared" ca="1" si="51"/>
        <v/>
      </c>
      <c r="Z108" s="315" t="str">
        <f t="shared" ca="1" si="52"/>
        <v/>
      </c>
      <c r="AA108" s="316" t="str">
        <f t="shared" ca="1" si="53"/>
        <v/>
      </c>
      <c r="AC108" s="310" t="e">
        <f t="shared" ca="1" si="54"/>
        <v>#N/A</v>
      </c>
      <c r="AD108" s="323" t="e">
        <f t="shared" ca="1" si="55"/>
        <v>#N/A</v>
      </c>
      <c r="AE108" s="324">
        <f t="shared" ca="1" si="34"/>
        <v>161.61659687672525</v>
      </c>
      <c r="AG108" s="306">
        <f t="shared" ca="1" si="56"/>
        <v>89.926557923151535</v>
      </c>
      <c r="AH108" s="304">
        <f t="shared" ca="1" si="57"/>
        <v>99.56763298292006</v>
      </c>
    </row>
    <row r="109" spans="1:34" x14ac:dyDescent="0.2">
      <c r="A109" s="347">
        <f t="shared" ca="1" si="35"/>
        <v>0.01</v>
      </c>
      <c r="B109" s="304">
        <f t="shared" ca="1" si="36"/>
        <v>1.0500000000000007</v>
      </c>
      <c r="D109" s="306">
        <f t="shared" ca="1" si="37"/>
        <v>18.317796328556224</v>
      </c>
      <c r="E109" s="307">
        <f t="shared" ca="1" si="38"/>
        <v>87.571283526556968</v>
      </c>
      <c r="F109" s="304">
        <f t="shared" ca="1" si="39"/>
        <v>89.466593546547287</v>
      </c>
      <c r="G109" s="306">
        <f t="shared" ca="1" si="40"/>
        <v>39.361672227270205</v>
      </c>
      <c r="H109" s="307">
        <f t="shared" ca="1" si="41"/>
        <v>209.15688321365602</v>
      </c>
      <c r="I109" s="304">
        <f t="shared" ca="1" si="42"/>
        <v>212.82843568512644</v>
      </c>
      <c r="J109" s="306">
        <f t="shared" ca="1" si="43"/>
        <v>30.023817658026793</v>
      </c>
      <c r="K109" s="307">
        <f t="shared" ca="1" si="44"/>
        <v>163.70378714468549</v>
      </c>
      <c r="L109" s="304">
        <f t="shared" ca="1" si="29"/>
        <v>166.43424993755022</v>
      </c>
      <c r="M109" s="306">
        <f t="shared" ca="1" si="45"/>
        <v>1.3847798699314942</v>
      </c>
      <c r="N109" s="304">
        <f t="shared" ca="1" si="46"/>
        <v>79.342042101749712</v>
      </c>
      <c r="P109" s="310">
        <f t="shared" ca="1" si="47"/>
        <v>4</v>
      </c>
      <c r="Q109" s="304">
        <f t="shared" ca="1" si="48"/>
        <v>731.79999999999984</v>
      </c>
      <c r="R109" s="306">
        <f t="shared" ca="1" si="49"/>
        <v>0.36725632417884041</v>
      </c>
      <c r="S109" s="307">
        <f t="shared" ca="1" si="50"/>
        <v>5.6125731622594577</v>
      </c>
      <c r="T109" s="304">
        <f t="shared" ca="1" si="30"/>
        <v>55.059342721765283</v>
      </c>
      <c r="U109" s="311">
        <f t="shared" ca="1" si="31"/>
        <v>0</v>
      </c>
      <c r="V109" s="306">
        <f t="shared" ca="1" si="32"/>
        <v>1.2051090968832732</v>
      </c>
      <c r="W109" s="304">
        <f t="shared" ca="1" si="33"/>
        <v>177.10388561082385</v>
      </c>
      <c r="Y109" s="314" t="str">
        <f t="shared" ca="1" si="51"/>
        <v/>
      </c>
      <c r="Z109" s="315" t="str">
        <f t="shared" ca="1" si="52"/>
        <v/>
      </c>
      <c r="AA109" s="316" t="str">
        <f t="shared" ca="1" si="53"/>
        <v/>
      </c>
      <c r="AC109" s="310" t="e">
        <f t="shared" ca="1" si="54"/>
        <v>#N/A</v>
      </c>
      <c r="AD109" s="323" t="e">
        <f t="shared" ca="1" si="55"/>
        <v>#N/A</v>
      </c>
      <c r="AE109" s="324">
        <f t="shared" ca="1" si="34"/>
        <v>163.70378714468549</v>
      </c>
      <c r="AG109" s="306">
        <f t="shared" ca="1" si="56"/>
        <v>89.448211826834807</v>
      </c>
      <c r="AH109" s="304">
        <f t="shared" ca="1" si="57"/>
        <v>99.08913181380764</v>
      </c>
    </row>
    <row r="110" spans="1:34" x14ac:dyDescent="0.2">
      <c r="A110" s="347">
        <f t="shared" ca="1" si="35"/>
        <v>0.01</v>
      </c>
      <c r="B110" s="304">
        <f t="shared" ca="1" si="36"/>
        <v>1.0600000000000007</v>
      </c>
      <c r="D110" s="306">
        <f t="shared" ca="1" si="37"/>
        <v>18.237534643280398</v>
      </c>
      <c r="E110" s="307">
        <f t="shared" ca="1" si="38"/>
        <v>87.099142514704184</v>
      </c>
      <c r="F110" s="304">
        <f t="shared" ca="1" si="39"/>
        <v>88.988023332702483</v>
      </c>
      <c r="G110" s="306">
        <f t="shared" ca="1" si="40"/>
        <v>39.544047573703011</v>
      </c>
      <c r="H110" s="307">
        <f t="shared" ca="1" si="41"/>
        <v>210.02787463880307</v>
      </c>
      <c r="I110" s="304">
        <f t="shared" ca="1" si="42"/>
        <v>213.71813171512628</v>
      </c>
      <c r="J110" s="306">
        <f t="shared" ca="1" si="43"/>
        <v>30.418346257031658</v>
      </c>
      <c r="K110" s="307">
        <f t="shared" ca="1" si="44"/>
        <v>165.79971093394778</v>
      </c>
      <c r="L110" s="304">
        <f t="shared" ca="1" si="29"/>
        <v>168.56695979578356</v>
      </c>
      <c r="M110" s="306">
        <f t="shared" ca="1" si="45"/>
        <v>1.3846949770008248</v>
      </c>
      <c r="N110" s="304">
        <f t="shared" ca="1" si="46"/>
        <v>79.337178095111852</v>
      </c>
      <c r="P110" s="310">
        <f t="shared" ca="1" si="47"/>
        <v>4</v>
      </c>
      <c r="Q110" s="304">
        <f t="shared" ca="1" si="48"/>
        <v>730.19999999999982</v>
      </c>
      <c r="R110" s="306">
        <f t="shared" ca="1" si="49"/>
        <v>0.36645335872559343</v>
      </c>
      <c r="S110" s="307">
        <f t="shared" ca="1" si="50"/>
        <v>5.6089086286722019</v>
      </c>
      <c r="T110" s="304">
        <f t="shared" ca="1" si="30"/>
        <v>55.023393647274304</v>
      </c>
      <c r="U110" s="311">
        <f t="shared" ca="1" si="31"/>
        <v>0</v>
      </c>
      <c r="V110" s="306">
        <f t="shared" ca="1" si="32"/>
        <v>1.2048565245310889</v>
      </c>
      <c r="W110" s="304">
        <f t="shared" ca="1" si="33"/>
        <v>178.55026157121279</v>
      </c>
      <c r="Y110" s="314" t="str">
        <f t="shared" ca="1" si="51"/>
        <v/>
      </c>
      <c r="Z110" s="315" t="str">
        <f t="shared" ca="1" si="52"/>
        <v/>
      </c>
      <c r="AA110" s="316" t="str">
        <f t="shared" ca="1" si="53"/>
        <v/>
      </c>
      <c r="AC110" s="310" t="e">
        <f t="shared" ca="1" si="54"/>
        <v>#N/A</v>
      </c>
      <c r="AD110" s="323" t="e">
        <f t="shared" ca="1" si="55"/>
        <v>#N/A</v>
      </c>
      <c r="AE110" s="324">
        <f t="shared" ca="1" si="34"/>
        <v>165.79971093394778</v>
      </c>
      <c r="AG110" s="306">
        <f t="shared" ca="1" si="56"/>
        <v>88.969525988688872</v>
      </c>
      <c r="AH110" s="304">
        <f t="shared" ca="1" si="57"/>
        <v>98.610291414233728</v>
      </c>
    </row>
    <row r="111" spans="1:34" x14ac:dyDescent="0.2">
      <c r="A111" s="347">
        <f t="shared" ca="1" si="35"/>
        <v>0.01</v>
      </c>
      <c r="B111" s="304">
        <f t="shared" ca="1" si="36"/>
        <v>1.0700000000000007</v>
      </c>
      <c r="D111" s="306">
        <f t="shared" ca="1" si="37"/>
        <v>18.157103177122238</v>
      </c>
      <c r="E111" s="307">
        <f t="shared" ca="1" si="38"/>
        <v>86.62670852814864</v>
      </c>
      <c r="F111" s="304">
        <f t="shared" ca="1" si="39"/>
        <v>88.509135269787166</v>
      </c>
      <c r="G111" s="306">
        <f t="shared" ca="1" si="40"/>
        <v>39.725618605474232</v>
      </c>
      <c r="H111" s="307">
        <f t="shared" ca="1" si="41"/>
        <v>210.89414172408456</v>
      </c>
      <c r="I111" s="304">
        <f t="shared" ca="1" si="42"/>
        <v>214.60303769314606</v>
      </c>
      <c r="J111" s="306">
        <f t="shared" ca="1" si="43"/>
        <v>30.814694587927544</v>
      </c>
      <c r="K111" s="307">
        <f t="shared" ca="1" si="44"/>
        <v>167.90432101576221</v>
      </c>
      <c r="L111" s="304">
        <f t="shared" ca="1" si="29"/>
        <v>170.70854231206877</v>
      </c>
      <c r="M111" s="306">
        <f t="shared" ca="1" si="45"/>
        <v>1.3846103959855869</v>
      </c>
      <c r="N111" s="304">
        <f t="shared" ca="1" si="46"/>
        <v>79.332331959911798</v>
      </c>
      <c r="P111" s="310">
        <f t="shared" ca="1" si="47"/>
        <v>4</v>
      </c>
      <c r="Q111" s="304">
        <f t="shared" ca="1" si="48"/>
        <v>728.59999999999991</v>
      </c>
      <c r="R111" s="306">
        <f t="shared" ca="1" si="49"/>
        <v>0.3656503932723465</v>
      </c>
      <c r="S111" s="307">
        <f t="shared" ca="1" si="50"/>
        <v>5.6052521247394784</v>
      </c>
      <c r="T111" s="304">
        <f t="shared" ca="1" si="30"/>
        <v>54.987523343694285</v>
      </c>
      <c r="U111" s="311">
        <f t="shared" ca="1" si="31"/>
        <v>0</v>
      </c>
      <c r="V111" s="306">
        <f t="shared" ca="1" si="32"/>
        <v>1.2046029582478754</v>
      </c>
      <c r="W111" s="304">
        <f t="shared" ca="1" si="33"/>
        <v>179.99401911686397</v>
      </c>
      <c r="Y111" s="314" t="str">
        <f t="shared" ca="1" si="51"/>
        <v/>
      </c>
      <c r="Z111" s="315" t="str">
        <f t="shared" ca="1" si="52"/>
        <v/>
      </c>
      <c r="AA111" s="316" t="str">
        <f t="shared" ca="1" si="53"/>
        <v/>
      </c>
      <c r="AC111" s="310" t="e">
        <f t="shared" ca="1" si="54"/>
        <v>#N/A</v>
      </c>
      <c r="AD111" s="323" t="e">
        <f t="shared" ca="1" si="55"/>
        <v>#N/A</v>
      </c>
      <c r="AE111" s="324">
        <f t="shared" ca="1" si="34"/>
        <v>167.90432101576221</v>
      </c>
      <c r="AG111" s="306">
        <f t="shared" ca="1" si="56"/>
        <v>88.490521039026845</v>
      </c>
      <c r="AH111" s="304">
        <f t="shared" ca="1" si="57"/>
        <v>98.131132407242504</v>
      </c>
    </row>
    <row r="112" spans="1:34" x14ac:dyDescent="0.2">
      <c r="A112" s="347">
        <f t="shared" ca="1" si="35"/>
        <v>0.01</v>
      </c>
      <c r="B112" s="304">
        <f t="shared" ca="1" si="36"/>
        <v>1.0800000000000007</v>
      </c>
      <c r="D112" s="306">
        <f t="shared" ca="1" si="37"/>
        <v>18.076506517338878</v>
      </c>
      <c r="E112" s="307">
        <f t="shared" ca="1" si="38"/>
        <v>86.154001598169586</v>
      </c>
      <c r="F112" s="304">
        <f t="shared" ca="1" si="39"/>
        <v>88.029949899161039</v>
      </c>
      <c r="G112" s="306">
        <f t="shared" ca="1" si="40"/>
        <v>39.906383670647621</v>
      </c>
      <c r="H112" s="307">
        <f t="shared" ca="1" si="41"/>
        <v>211.75568174006625</v>
      </c>
      <c r="I112" s="304">
        <f t="shared" ca="1" si="42"/>
        <v>215.48315063333644</v>
      </c>
      <c r="J112" s="306">
        <f t="shared" ca="1" si="43"/>
        <v>31.212854599308155</v>
      </c>
      <c r="K112" s="307">
        <f t="shared" ca="1" si="44"/>
        <v>170.01757013308296</v>
      </c>
      <c r="L112" s="304">
        <f t="shared" ca="1" si="29"/>
        <v>172.85894956928129</v>
      </c>
      <c r="M112" s="306">
        <f t="shared" ca="1" si="45"/>
        <v>1.3845261225896865</v>
      </c>
      <c r="N112" s="304">
        <f t="shared" ca="1" si="46"/>
        <v>79.327503450001473</v>
      </c>
      <c r="P112" s="310">
        <f t="shared" ca="1" si="47"/>
        <v>4</v>
      </c>
      <c r="Q112" s="304">
        <f t="shared" ca="1" si="48"/>
        <v>726.99999999999989</v>
      </c>
      <c r="R112" s="306">
        <f t="shared" ca="1" si="49"/>
        <v>0.36484742781909951</v>
      </c>
      <c r="S112" s="307">
        <f t="shared" ca="1" si="50"/>
        <v>5.6016036504612874</v>
      </c>
      <c r="T112" s="304">
        <f t="shared" ca="1" si="30"/>
        <v>54.951731811025233</v>
      </c>
      <c r="U112" s="311">
        <f t="shared" ca="1" si="31"/>
        <v>0</v>
      </c>
      <c r="V112" s="306">
        <f t="shared" ca="1" si="32"/>
        <v>1.2043484043641661</v>
      </c>
      <c r="W112" s="304">
        <f t="shared" ca="1" si="33"/>
        <v>181.43505229713509</v>
      </c>
      <c r="Y112" s="314" t="str">
        <f t="shared" ca="1" si="51"/>
        <v/>
      </c>
      <c r="Z112" s="315" t="str">
        <f t="shared" ca="1" si="52"/>
        <v/>
      </c>
      <c r="AA112" s="316" t="str">
        <f t="shared" ca="1" si="53"/>
        <v/>
      </c>
      <c r="AC112" s="310" t="e">
        <f t="shared" ca="1" si="54"/>
        <v>#N/A</v>
      </c>
      <c r="AD112" s="323" t="e">
        <f t="shared" ca="1" si="55"/>
        <v>#N/A</v>
      </c>
      <c r="AE112" s="324">
        <f t="shared" ca="1" si="34"/>
        <v>170.01757013308296</v>
      </c>
      <c r="AG112" s="306">
        <f t="shared" ca="1" si="56"/>
        <v>88.011217500915095</v>
      </c>
      <c r="AH112" s="304">
        <f t="shared" ca="1" si="57"/>
        <v>97.651675308746704</v>
      </c>
    </row>
    <row r="113" spans="1:34" x14ac:dyDescent="0.2">
      <c r="A113" s="347">
        <f t="shared" ca="1" si="35"/>
        <v>0.01</v>
      </c>
      <c r="B113" s="304">
        <f t="shared" ca="1" si="36"/>
        <v>1.0900000000000007</v>
      </c>
      <c r="D113" s="306">
        <f t="shared" ca="1" si="37"/>
        <v>17.995749223285763</v>
      </c>
      <c r="E113" s="307">
        <f t="shared" ca="1" si="38"/>
        <v>85.681041650136606</v>
      </c>
      <c r="F113" s="304">
        <f t="shared" ca="1" si="39"/>
        <v>87.550487653466746</v>
      </c>
      <c r="G113" s="306">
        <f t="shared" ca="1" si="40"/>
        <v>40.08634116288048</v>
      </c>
      <c r="H113" s="307">
        <f t="shared" ca="1" si="41"/>
        <v>212.61249215656761</v>
      </c>
      <c r="I113" s="304">
        <f t="shared" ca="1" si="42"/>
        <v>216.35846775398778</v>
      </c>
      <c r="J113" s="306">
        <f t="shared" ca="1" si="43"/>
        <v>31.612818223475795</v>
      </c>
      <c r="K113" s="307">
        <f t="shared" ca="1" si="44"/>
        <v>172.13941100256613</v>
      </c>
      <c r="L113" s="304">
        <f t="shared" ca="1" si="29"/>
        <v>175.01813362146481</v>
      </c>
      <c r="M113" s="306">
        <f t="shared" ca="1" si="45"/>
        <v>1.3844421525869024</v>
      </c>
      <c r="N113" s="304">
        <f t="shared" ca="1" si="46"/>
        <v>79.32269232323624</v>
      </c>
      <c r="P113" s="310">
        <f t="shared" ca="1" si="47"/>
        <v>4</v>
      </c>
      <c r="Q113" s="304">
        <f t="shared" ca="1" si="48"/>
        <v>725.39999999999986</v>
      </c>
      <c r="R113" s="306">
        <f t="shared" ca="1" si="49"/>
        <v>0.36404446236585247</v>
      </c>
      <c r="S113" s="307">
        <f t="shared" ca="1" si="50"/>
        <v>5.5979632058376287</v>
      </c>
      <c r="T113" s="304">
        <f t="shared" ca="1" si="30"/>
        <v>54.916019049267142</v>
      </c>
      <c r="U113" s="311">
        <f t="shared" ca="1" si="31"/>
        <v>0</v>
      </c>
      <c r="V113" s="306">
        <f t="shared" ca="1" si="32"/>
        <v>1.204092869211173</v>
      </c>
      <c r="W113" s="304">
        <f t="shared" ca="1" si="33"/>
        <v>182.87325609153154</v>
      </c>
      <c r="Y113" s="314" t="str">
        <f t="shared" ca="1" si="51"/>
        <v/>
      </c>
      <c r="Z113" s="315" t="str">
        <f t="shared" ca="1" si="52"/>
        <v/>
      </c>
      <c r="AA113" s="316" t="str">
        <f t="shared" ca="1" si="53"/>
        <v/>
      </c>
      <c r="AC113" s="310" t="e">
        <f t="shared" ca="1" si="54"/>
        <v>#N/A</v>
      </c>
      <c r="AD113" s="323" t="e">
        <f t="shared" ca="1" si="55"/>
        <v>#N/A</v>
      </c>
      <c r="AE113" s="324">
        <f t="shared" ca="1" si="34"/>
        <v>172.13941100256613</v>
      </c>
      <c r="AG113" s="306">
        <f t="shared" ca="1" si="56"/>
        <v>87.531635788375638</v>
      </c>
      <c r="AH113" s="304">
        <f t="shared" ca="1" si="57"/>
        <v>97.171940525727464</v>
      </c>
    </row>
    <row r="114" spans="1:34" x14ac:dyDescent="0.2">
      <c r="A114" s="347">
        <f t="shared" ca="1" si="35"/>
        <v>0.01</v>
      </c>
      <c r="B114" s="304">
        <f t="shared" ca="1" si="36"/>
        <v>1.1000000000000008</v>
      </c>
      <c r="D114" s="306">
        <f t="shared" ca="1" si="37"/>
        <v>17.914835826292226</v>
      </c>
      <c r="E114" s="307">
        <f t="shared" ca="1" si="38"/>
        <v>85.207848501742745</v>
      </c>
      <c r="F114" s="304">
        <f t="shared" ca="1" si="39"/>
        <v>87.070768854874288</v>
      </c>
      <c r="G114" s="306">
        <f t="shared" ca="1" si="40"/>
        <v>40.265489521143401</v>
      </c>
      <c r="H114" s="307">
        <f t="shared" ca="1" si="41"/>
        <v>213.46457064158503</v>
      </c>
      <c r="I114" s="304">
        <f t="shared" ca="1" si="42"/>
        <v>217.22898647642205</v>
      </c>
      <c r="J114" s="306">
        <f t="shared" ca="1" si="43"/>
        <v>32.014577376895915</v>
      </c>
      <c r="K114" s="307">
        <f t="shared" ca="1" si="44"/>
        <v>174.26979631655689</v>
      </c>
      <c r="L114" s="304">
        <f t="shared" ca="1" si="29"/>
        <v>177.18604649586683</v>
      </c>
      <c r="M114" s="306">
        <f t="shared" ca="1" si="45"/>
        <v>1.38435848181932</v>
      </c>
      <c r="N114" s="304">
        <f t="shared" ca="1" si="46"/>
        <v>79.317898341385145</v>
      </c>
      <c r="P114" s="310">
        <f t="shared" ca="1" si="47"/>
        <v>4</v>
      </c>
      <c r="Q114" s="304">
        <f t="shared" ca="1" si="48"/>
        <v>723.79999999999984</v>
      </c>
      <c r="R114" s="306">
        <f t="shared" ca="1" si="49"/>
        <v>0.36324149691260549</v>
      </c>
      <c r="S114" s="307">
        <f t="shared" ca="1" si="50"/>
        <v>5.5943307908685025</v>
      </c>
      <c r="T114" s="304">
        <f t="shared" ca="1" si="30"/>
        <v>54.880385058420011</v>
      </c>
      <c r="U114" s="311">
        <f t="shared" ca="1" si="31"/>
        <v>0</v>
      </c>
      <c r="V114" s="306">
        <f t="shared" ca="1" si="32"/>
        <v>1.2038363591204915</v>
      </c>
      <c r="W114" s="304">
        <f t="shared" ca="1" si="33"/>
        <v>184.30852641573853</v>
      </c>
      <c r="Y114" s="314" t="str">
        <f t="shared" ca="1" si="51"/>
        <v/>
      </c>
      <c r="Z114" s="315" t="str">
        <f t="shared" ca="1" si="52"/>
        <v/>
      </c>
      <c r="AA114" s="316" t="str">
        <f t="shared" ca="1" si="53"/>
        <v/>
      </c>
      <c r="AC114" s="310" t="e">
        <f t="shared" ca="1" si="54"/>
        <v>#N/A</v>
      </c>
      <c r="AD114" s="323" t="e">
        <f t="shared" ca="1" si="55"/>
        <v>#N/A</v>
      </c>
      <c r="AE114" s="324">
        <f t="shared" ca="1" si="34"/>
        <v>174.26979631655689</v>
      </c>
      <c r="AG114" s="306">
        <f t="shared" ca="1" si="56"/>
        <v>87.051796204622462</v>
      </c>
      <c r="AH114" s="304">
        <f t="shared" ca="1" si="57"/>
        <v>96.691948354468167</v>
      </c>
    </row>
    <row r="115" spans="1:34" x14ac:dyDescent="0.2">
      <c r="A115" s="347">
        <f t="shared" ca="1" si="35"/>
        <v>0.01</v>
      </c>
      <c r="B115" s="304">
        <f t="shared" ca="1" si="36"/>
        <v>1.1100000000000008</v>
      </c>
      <c r="D115" s="306">
        <f t="shared" ca="1" si="37"/>
        <v>17.833770829536586</v>
      </c>
      <c r="E115" s="307">
        <f t="shared" ca="1" si="38"/>
        <v>84.734441861273282</v>
      </c>
      <c r="F115" s="304">
        <f t="shared" ca="1" si="39"/>
        <v>86.590813713360674</v>
      </c>
      <c r="G115" s="306">
        <f t="shared" ca="1" si="40"/>
        <v>40.443827229438767</v>
      </c>
      <c r="H115" s="307">
        <f t="shared" ca="1" si="41"/>
        <v>214.31191506019775</v>
      </c>
      <c r="I115" s="304">
        <f t="shared" ca="1" si="42"/>
        <v>218.09470442386746</v>
      </c>
      <c r="J115" s="306">
        <f t="shared" ca="1" si="43"/>
        <v>32.418123960648828</v>
      </c>
      <c r="K115" s="307">
        <f t="shared" ca="1" si="44"/>
        <v>176.4086787450658</v>
      </c>
      <c r="L115" s="304">
        <f t="shared" ca="1" si="29"/>
        <v>179.36264019496318</v>
      </c>
      <c r="M115" s="306">
        <f t="shared" ca="1" si="45"/>
        <v>1.3842751061958118</v>
      </c>
      <c r="N115" s="304">
        <f t="shared" ca="1" si="46"/>
        <v>79.313121270043851</v>
      </c>
      <c r="P115" s="310">
        <f t="shared" ca="1" si="47"/>
        <v>4</v>
      </c>
      <c r="Q115" s="304">
        <f t="shared" ca="1" si="48"/>
        <v>722.19999999999982</v>
      </c>
      <c r="R115" s="306">
        <f t="shared" ca="1" si="49"/>
        <v>0.3624385314593585</v>
      </c>
      <c r="S115" s="307">
        <f t="shared" ca="1" si="50"/>
        <v>5.5907064055539086</v>
      </c>
      <c r="T115" s="304">
        <f t="shared" ca="1" si="30"/>
        <v>54.844829838483847</v>
      </c>
      <c r="U115" s="311">
        <f t="shared" ca="1" si="31"/>
        <v>0</v>
      </c>
      <c r="V115" s="306">
        <f t="shared" ca="1" si="32"/>
        <v>1.2035788804238132</v>
      </c>
      <c r="W115" s="304">
        <f t="shared" ca="1" si="33"/>
        <v>185.74076012743564</v>
      </c>
      <c r="Y115" s="314" t="str">
        <f t="shared" ca="1" si="51"/>
        <v/>
      </c>
      <c r="Z115" s="315" t="str">
        <f t="shared" ca="1" si="52"/>
        <v/>
      </c>
      <c r="AA115" s="316" t="str">
        <f t="shared" ca="1" si="53"/>
        <v/>
      </c>
      <c r="AC115" s="310" t="e">
        <f t="shared" ca="1" si="54"/>
        <v>#N/A</v>
      </c>
      <c r="AD115" s="323" t="e">
        <f t="shared" ca="1" si="55"/>
        <v>#N/A</v>
      </c>
      <c r="AE115" s="324">
        <f t="shared" ca="1" si="34"/>
        <v>176.4086787450658</v>
      </c>
      <c r="AG115" s="306">
        <f t="shared" ca="1" si="56"/>
        <v>86.571718940333099</v>
      </c>
      <c r="AH115" s="304">
        <f t="shared" ca="1" si="57"/>
        <v>96.211718978823541</v>
      </c>
    </row>
    <row r="116" spans="1:34" x14ac:dyDescent="0.2">
      <c r="A116" s="347">
        <f t="shared" ca="1" si="35"/>
        <v>0.01</v>
      </c>
      <c r="B116" s="304">
        <f t="shared" ca="1" si="36"/>
        <v>1.1200000000000008</v>
      </c>
      <c r="D116" s="306">
        <f t="shared" ca="1" si="37"/>
        <v>17.752558707920574</v>
      </c>
      <c r="E116" s="307">
        <f t="shared" ca="1" si="38"/>
        <v>84.260841325909894</v>
      </c>
      <c r="F116" s="304">
        <f t="shared" ca="1" si="39"/>
        <v>86.110642325024671</v>
      </c>
      <c r="G116" s="306">
        <f t="shared" ca="1" si="40"/>
        <v>40.62135281651797</v>
      </c>
      <c r="H116" s="307">
        <f t="shared" ca="1" si="41"/>
        <v>215.15452347345683</v>
      </c>
      <c r="I116" s="304">
        <f t="shared" ca="1" si="42"/>
        <v>218.95561942031614</v>
      </c>
      <c r="J116" s="306">
        <f t="shared" ca="1" si="43"/>
        <v>32.823449860878611</v>
      </c>
      <c r="K116" s="307">
        <f t="shared" ca="1" si="44"/>
        <v>178.55601093773407</v>
      </c>
      <c r="L116" s="304">
        <f t="shared" ca="1" si="29"/>
        <v>181.54786669847107</v>
      </c>
      <c r="M116" s="306">
        <f t="shared" ca="1" si="45"/>
        <v>1.3841920216905585</v>
      </c>
      <c r="N116" s="304">
        <f t="shared" ca="1" si="46"/>
        <v>79.308360878549905</v>
      </c>
      <c r="P116" s="310">
        <f t="shared" ca="1" si="47"/>
        <v>4</v>
      </c>
      <c r="Q116" s="304">
        <f t="shared" ca="1" si="48"/>
        <v>720.59999999999991</v>
      </c>
      <c r="R116" s="306">
        <f t="shared" ca="1" si="49"/>
        <v>0.36163556600611158</v>
      </c>
      <c r="S116" s="307">
        <f t="shared" ca="1" si="50"/>
        <v>5.5870900498938472</v>
      </c>
      <c r="T116" s="304">
        <f t="shared" ca="1" si="30"/>
        <v>54.809353389458643</v>
      </c>
      <c r="U116" s="311">
        <f t="shared" ca="1" si="31"/>
        <v>0</v>
      </c>
      <c r="V116" s="306">
        <f t="shared" ca="1" si="32"/>
        <v>1.2033204394526389</v>
      </c>
      <c r="W116" s="304">
        <f t="shared" ca="1" si="33"/>
        <v>187.16985503189278</v>
      </c>
      <c r="Y116" s="314" t="str">
        <f t="shared" ca="1" si="51"/>
        <v/>
      </c>
      <c r="Z116" s="315" t="str">
        <f t="shared" ca="1" si="52"/>
        <v/>
      </c>
      <c r="AA116" s="316" t="str">
        <f t="shared" ca="1" si="53"/>
        <v/>
      </c>
      <c r="AC116" s="310" t="e">
        <f t="shared" ca="1" si="54"/>
        <v>#N/A</v>
      </c>
      <c r="AD116" s="323" t="e">
        <f t="shared" ca="1" si="55"/>
        <v>#N/A</v>
      </c>
      <c r="AE116" s="324">
        <f t="shared" ca="1" si="34"/>
        <v>178.55601093773407</v>
      </c>
      <c r="AG116" s="306">
        <f t="shared" ca="1" si="56"/>
        <v>86.091424071954805</v>
      </c>
      <c r="AH116" s="304">
        <f t="shared" ca="1" si="57"/>
        <v>95.731272468523485</v>
      </c>
    </row>
    <row r="117" spans="1:34" x14ac:dyDescent="0.2">
      <c r="A117" s="347">
        <f t="shared" ca="1" si="35"/>
        <v>0.01</v>
      </c>
      <c r="B117" s="304">
        <f t="shared" ca="1" si="36"/>
        <v>1.1300000000000008</v>
      </c>
      <c r="D117" s="306">
        <f t="shared" ca="1" si="37"/>
        <v>17.671203907943507</v>
      </c>
      <c r="E117" s="307">
        <f t="shared" ca="1" si="38"/>
        <v>83.78706638006993</v>
      </c>
      <c r="F117" s="304">
        <f t="shared" ca="1" si="39"/>
        <v>85.630274670436293</v>
      </c>
      <c r="G117" s="306">
        <f t="shared" ca="1" si="40"/>
        <v>40.798064855597403</v>
      </c>
      <c r="H117" s="307">
        <f t="shared" ca="1" si="41"/>
        <v>215.99239413725752</v>
      </c>
      <c r="I117" s="304">
        <f t="shared" ca="1" si="42"/>
        <v>219.81172948936535</v>
      </c>
      <c r="J117" s="306">
        <f t="shared" ca="1" si="43"/>
        <v>33.230546949239191</v>
      </c>
      <c r="K117" s="307">
        <f t="shared" ca="1" si="44"/>
        <v>180.71174552578765</v>
      </c>
      <c r="L117" s="304">
        <f t="shared" ca="1" si="29"/>
        <v>183.74167796535065</v>
      </c>
      <c r="M117" s="306">
        <f t="shared" ca="1" si="45"/>
        <v>1.3841092243416107</v>
      </c>
      <c r="N117" s="304">
        <f t="shared" ca="1" si="46"/>
        <v>79.303616939900323</v>
      </c>
      <c r="P117" s="310">
        <f t="shared" ca="1" si="47"/>
        <v>4</v>
      </c>
      <c r="Q117" s="304">
        <f t="shared" ca="1" si="48"/>
        <v>718.99999999999989</v>
      </c>
      <c r="R117" s="306">
        <f t="shared" ca="1" si="49"/>
        <v>0.36083260055286454</v>
      </c>
      <c r="S117" s="307">
        <f t="shared" ca="1" si="50"/>
        <v>5.5834817238883181</v>
      </c>
      <c r="T117" s="304">
        <f t="shared" ca="1" si="30"/>
        <v>54.773955711344406</v>
      </c>
      <c r="U117" s="311">
        <f t="shared" ca="1" si="31"/>
        <v>0</v>
      </c>
      <c r="V117" s="306">
        <f t="shared" ca="1" si="32"/>
        <v>1.20306104253799</v>
      </c>
      <c r="W117" s="304">
        <f t="shared" ca="1" si="33"/>
        <v>188.59570988734887</v>
      </c>
      <c r="Y117" s="314" t="str">
        <f t="shared" ca="1" si="51"/>
        <v/>
      </c>
      <c r="Z117" s="315" t="str">
        <f t="shared" ca="1" si="52"/>
        <v/>
      </c>
      <c r="AA117" s="316" t="str">
        <f t="shared" ca="1" si="53"/>
        <v/>
      </c>
      <c r="AC117" s="310" t="e">
        <f t="shared" ca="1" si="54"/>
        <v>#N/A</v>
      </c>
      <c r="AD117" s="323" t="e">
        <f t="shared" ca="1" si="55"/>
        <v>#N/A</v>
      </c>
      <c r="AE117" s="324">
        <f t="shared" ca="1" si="34"/>
        <v>180.71174552578765</v>
      </c>
      <c r="AG117" s="306">
        <f t="shared" ca="1" si="56"/>
        <v>85.610931560045458</v>
      </c>
      <c r="AH117" s="304">
        <f t="shared" ca="1" si="57"/>
        <v>95.250628777511665</v>
      </c>
    </row>
    <row r="118" spans="1:34" x14ac:dyDescent="0.2">
      <c r="A118" s="347">
        <f t="shared" ca="1" si="35"/>
        <v>0.01</v>
      </c>
      <c r="B118" s="304">
        <f t="shared" ca="1" si="36"/>
        <v>1.1400000000000008</v>
      </c>
      <c r="D118" s="306">
        <f t="shared" ca="1" si="37"/>
        <v>17.589710847576526</v>
      </c>
      <c r="E118" s="307">
        <f t="shared" ca="1" si="38"/>
        <v>83.313136393781534</v>
      </c>
      <c r="F118" s="304">
        <f t="shared" ca="1" si="39"/>
        <v>85.149730613021887</v>
      </c>
      <c r="G118" s="306">
        <f t="shared" ca="1" si="40"/>
        <v>40.973961964073169</v>
      </c>
      <c r="H118" s="307">
        <f t="shared" ca="1" si="41"/>
        <v>216.82552550119533</v>
      </c>
      <c r="I118" s="304">
        <f t="shared" ca="1" si="42"/>
        <v>220.6630328530423</v>
      </c>
      <c r="J118" s="306">
        <f t="shared" ca="1" si="43"/>
        <v>33.639407083337545</v>
      </c>
      <c r="K118" s="307">
        <f t="shared" ca="1" si="44"/>
        <v>182.87583512397993</v>
      </c>
      <c r="L118" s="304">
        <f t="shared" ca="1" si="29"/>
        <v>185.94402593579497</v>
      </c>
      <c r="M118" s="306">
        <f t="shared" ca="1" si="45"/>
        <v>1.3840267102494894</v>
      </c>
      <c r="N118" s="304">
        <f t="shared" ca="1" si="46"/>
        <v>79.298889230671421</v>
      </c>
      <c r="P118" s="310">
        <f t="shared" ca="1" si="47"/>
        <v>4</v>
      </c>
      <c r="Q118" s="304">
        <f t="shared" ca="1" si="48"/>
        <v>717.39999999999986</v>
      </c>
      <c r="R118" s="306">
        <f t="shared" ca="1" si="49"/>
        <v>0.36002963509961755</v>
      </c>
      <c r="S118" s="307">
        <f t="shared" ca="1" si="50"/>
        <v>5.5798814275373223</v>
      </c>
      <c r="T118" s="304">
        <f t="shared" ca="1" si="30"/>
        <v>54.738636804141137</v>
      </c>
      <c r="U118" s="311">
        <f t="shared" ca="1" si="31"/>
        <v>0</v>
      </c>
      <c r="V118" s="306">
        <f t="shared" ca="1" si="32"/>
        <v>1.2028006960101283</v>
      </c>
      <c r="W118" s="304">
        <f t="shared" ca="1" si="33"/>
        <v>190.01822441017472</v>
      </c>
      <c r="Y118" s="314" t="str">
        <f t="shared" ca="1" si="51"/>
        <v/>
      </c>
      <c r="Z118" s="315" t="str">
        <f t="shared" ca="1" si="52"/>
        <v/>
      </c>
      <c r="AA118" s="316" t="str">
        <f t="shared" ca="1" si="53"/>
        <v/>
      </c>
      <c r="AC118" s="310" t="e">
        <f t="shared" ca="1" si="54"/>
        <v>#N/A</v>
      </c>
      <c r="AD118" s="323" t="e">
        <f t="shared" ca="1" si="55"/>
        <v>#N/A</v>
      </c>
      <c r="AE118" s="324">
        <f t="shared" ca="1" si="34"/>
        <v>182.87583512397993</v>
      </c>
      <c r="AG118" s="306">
        <f t="shared" ca="1" si="56"/>
        <v>85.130261247649742</v>
      </c>
      <c r="AH118" s="304">
        <f t="shared" ca="1" si="57"/>
        <v>94.769807742319443</v>
      </c>
    </row>
    <row r="119" spans="1:34" x14ac:dyDescent="0.2">
      <c r="A119" s="347">
        <f t="shared" ca="1" si="35"/>
        <v>0.01</v>
      </c>
      <c r="B119" s="304">
        <f t="shared" ca="1" si="36"/>
        <v>1.1500000000000008</v>
      </c>
      <c r="D119" s="306">
        <f t="shared" ca="1" si="37"/>
        <v>17.508083916136957</v>
      </c>
      <c r="E119" s="307">
        <f t="shared" ca="1" si="38"/>
        <v>82.83907062109364</v>
      </c>
      <c r="F119" s="304">
        <f t="shared" ca="1" si="39"/>
        <v>84.669029897483966</v>
      </c>
      <c r="G119" s="306">
        <f t="shared" ca="1" si="40"/>
        <v>41.149042803234536</v>
      </c>
      <c r="H119" s="307">
        <f t="shared" ca="1" si="41"/>
        <v>217.65391620740627</v>
      </c>
      <c r="I119" s="304">
        <f t="shared" ca="1" si="42"/>
        <v>221.50952793061307</v>
      </c>
      <c r="J119" s="306">
        <f t="shared" ca="1" si="43"/>
        <v>34.050022107174087</v>
      </c>
      <c r="K119" s="307">
        <f t="shared" ca="1" si="44"/>
        <v>185.04823233252293</v>
      </c>
      <c r="L119" s="304">
        <f t="shared" ca="1" si="29"/>
        <v>188.15486253320807</v>
      </c>
      <c r="M119" s="306">
        <f t="shared" ca="1" si="45"/>
        <v>1.3839444755758259</v>
      </c>
      <c r="N119" s="304">
        <f t="shared" ca="1" si="46"/>
        <v>79.294177530940871</v>
      </c>
      <c r="P119" s="310">
        <f t="shared" ca="1" si="47"/>
        <v>4</v>
      </c>
      <c r="Q119" s="304">
        <f t="shared" ca="1" si="48"/>
        <v>715.79999999999984</v>
      </c>
      <c r="R119" s="306">
        <f t="shared" ca="1" si="49"/>
        <v>0.35922666964637057</v>
      </c>
      <c r="S119" s="307">
        <f t="shared" ca="1" si="50"/>
        <v>5.5762891608408589</v>
      </c>
      <c r="T119" s="304">
        <f t="shared" ca="1" si="30"/>
        <v>54.703396667848828</v>
      </c>
      <c r="U119" s="311">
        <f t="shared" ca="1" si="31"/>
        <v>0</v>
      </c>
      <c r="V119" s="306">
        <f t="shared" ca="1" si="32"/>
        <v>1.2025394061982735</v>
      </c>
      <c r="W119" s="304">
        <f t="shared" ca="1" si="33"/>
        <v>191.43729927982045</v>
      </c>
      <c r="Y119" s="314" t="str">
        <f t="shared" ca="1" si="51"/>
        <v/>
      </c>
      <c r="Z119" s="315" t="str">
        <f t="shared" ca="1" si="52"/>
        <v/>
      </c>
      <c r="AA119" s="316" t="str">
        <f t="shared" ca="1" si="53"/>
        <v/>
      </c>
      <c r="AC119" s="310" t="e">
        <f t="shared" ca="1" si="54"/>
        <v>#N/A</v>
      </c>
      <c r="AD119" s="323" t="e">
        <f t="shared" ca="1" si="55"/>
        <v>#N/A</v>
      </c>
      <c r="AE119" s="324">
        <f t="shared" ca="1" si="34"/>
        <v>185.04823233252293</v>
      </c>
      <c r="AG119" s="306">
        <f t="shared" ca="1" si="56"/>
        <v>84.649432858709702</v>
      </c>
      <c r="AH119" s="304">
        <f t="shared" ca="1" si="57"/>
        <v>94.288829080474272</v>
      </c>
    </row>
    <row r="120" spans="1:34" x14ac:dyDescent="0.2">
      <c r="A120" s="347">
        <f t="shared" ca="1" si="35"/>
        <v>0.01</v>
      </c>
      <c r="B120" s="304">
        <f t="shared" ca="1" si="36"/>
        <v>1.1600000000000008</v>
      </c>
      <c r="D120" s="306">
        <f t="shared" ca="1" si="37"/>
        <v>17.426327474163163</v>
      </c>
      <c r="E120" s="307">
        <f t="shared" ca="1" si="38"/>
        <v>82.364888198521712</v>
      </c>
      <c r="F120" s="304">
        <f t="shared" ca="1" si="39"/>
        <v>84.188192148256476</v>
      </c>
      <c r="G120" s="306">
        <f t="shared" ca="1" si="40"/>
        <v>41.32330607797617</v>
      </c>
      <c r="H120" s="307">
        <f t="shared" ca="1" si="41"/>
        <v>218.47756508939148</v>
      </c>
      <c r="I120" s="304">
        <f t="shared" ca="1" si="42"/>
        <v>222.35121333737621</v>
      </c>
      <c r="J120" s="306">
        <f t="shared" ca="1" si="43"/>
        <v>34.462383851580142</v>
      </c>
      <c r="K120" s="307">
        <f t="shared" ca="1" si="44"/>
        <v>187.22888973900692</v>
      </c>
      <c r="L120" s="304">
        <f t="shared" ca="1" si="29"/>
        <v>190.3741396661712</v>
      </c>
      <c r="M120" s="306">
        <f t="shared" ca="1" si="45"/>
        <v>1.3838625165420366</v>
      </c>
      <c r="N120" s="304">
        <f t="shared" ca="1" si="46"/>
        <v>79.289481624211774</v>
      </c>
      <c r="P120" s="310">
        <f t="shared" ca="1" si="47"/>
        <v>4</v>
      </c>
      <c r="Q120" s="304">
        <f t="shared" ca="1" si="48"/>
        <v>714.19999999999982</v>
      </c>
      <c r="R120" s="306">
        <f t="shared" ca="1" si="49"/>
        <v>0.35842370419312358</v>
      </c>
      <c r="S120" s="307">
        <f t="shared" ca="1" si="50"/>
        <v>5.5727049237989279</v>
      </c>
      <c r="T120" s="304">
        <f t="shared" ca="1" si="30"/>
        <v>54.668235302467487</v>
      </c>
      <c r="U120" s="311">
        <f t="shared" ca="1" si="31"/>
        <v>0</v>
      </c>
      <c r="V120" s="306">
        <f t="shared" ca="1" si="32"/>
        <v>1.2022771794303218</v>
      </c>
      <c r="W120" s="304">
        <f t="shared" ca="1" si="33"/>
        <v>192.85283614354873</v>
      </c>
      <c r="Y120" s="314" t="str">
        <f t="shared" ca="1" si="51"/>
        <v/>
      </c>
      <c r="Z120" s="315" t="str">
        <f t="shared" ca="1" si="52"/>
        <v/>
      </c>
      <c r="AA120" s="316" t="str">
        <f t="shared" ca="1" si="53"/>
        <v/>
      </c>
      <c r="AC120" s="310" t="e">
        <f t="shared" ca="1" si="54"/>
        <v>#N/A</v>
      </c>
      <c r="AD120" s="323" t="e">
        <f t="shared" ca="1" si="55"/>
        <v>#N/A</v>
      </c>
      <c r="AE120" s="324">
        <f t="shared" ca="1" si="34"/>
        <v>187.22888973900692</v>
      </c>
      <c r="AG120" s="306">
        <f t="shared" ca="1" si="56"/>
        <v>84.168465996510733</v>
      </c>
      <c r="AH120" s="304">
        <f t="shared" ca="1" si="57"/>
        <v>93.807712388943543</v>
      </c>
    </row>
    <row r="121" spans="1:34" x14ac:dyDescent="0.2">
      <c r="A121" s="347">
        <f t="shared" ca="1" si="35"/>
        <v>0.01</v>
      </c>
      <c r="B121" s="304">
        <f t="shared" ca="1" si="36"/>
        <v>1.1700000000000008</v>
      </c>
      <c r="D121" s="306">
        <f t="shared" ca="1" si="37"/>
        <v>17.344445853289976</v>
      </c>
      <c r="E121" s="307">
        <f t="shared" ca="1" si="38"/>
        <v>81.890608143528624</v>
      </c>
      <c r="F121" s="304">
        <f t="shared" ca="1" si="39"/>
        <v>83.707236867995263</v>
      </c>
      <c r="G121" s="306">
        <f t="shared" ca="1" si="40"/>
        <v>41.496750536509069</v>
      </c>
      <c r="H121" s="307">
        <f t="shared" ca="1" si="41"/>
        <v>219.29647117082675</v>
      </c>
      <c r="I121" s="304">
        <f t="shared" ca="1" si="42"/>
        <v>223.18808788344083</v>
      </c>
      <c r="J121" s="306">
        <f t="shared" ca="1" si="43"/>
        <v>34.876484134652571</v>
      </c>
      <c r="K121" s="307">
        <f t="shared" ca="1" si="44"/>
        <v>189.41775992030801</v>
      </c>
      <c r="L121" s="304">
        <f t="shared" ca="1" si="29"/>
        <v>192.6018092303967</v>
      </c>
      <c r="M121" s="306">
        <f t="shared" ca="1" si="45"/>
        <v>1.3837808294280343</v>
      </c>
      <c r="N121" s="304">
        <f t="shared" ca="1" si="46"/>
        <v>79.284801297338831</v>
      </c>
      <c r="P121" s="310">
        <f t="shared" ca="1" si="47"/>
        <v>4</v>
      </c>
      <c r="Q121" s="304">
        <f t="shared" ca="1" si="48"/>
        <v>712.59999999999991</v>
      </c>
      <c r="R121" s="306">
        <f t="shared" ca="1" si="49"/>
        <v>0.3576207387398766</v>
      </c>
      <c r="S121" s="307">
        <f t="shared" ca="1" si="50"/>
        <v>5.5691287164115293</v>
      </c>
      <c r="T121" s="304">
        <f t="shared" ca="1" si="30"/>
        <v>54.633152707997105</v>
      </c>
      <c r="U121" s="311">
        <f t="shared" ca="1" si="31"/>
        <v>0</v>
      </c>
      <c r="V121" s="306">
        <f t="shared" ca="1" si="32"/>
        <v>1.202014022032571</v>
      </c>
      <c r="W121" s="304">
        <f t="shared" ca="1" si="33"/>
        <v>194.26473762095566</v>
      </c>
      <c r="Y121" s="314" t="str">
        <f t="shared" ca="1" si="51"/>
        <v/>
      </c>
      <c r="Z121" s="315" t="str">
        <f t="shared" ca="1" si="52"/>
        <v/>
      </c>
      <c r="AA121" s="316" t="str">
        <f t="shared" ca="1" si="53"/>
        <v/>
      </c>
      <c r="AC121" s="310" t="e">
        <f t="shared" ca="1" si="54"/>
        <v>#N/A</v>
      </c>
      <c r="AD121" s="323" t="e">
        <f t="shared" ca="1" si="55"/>
        <v>#N/A</v>
      </c>
      <c r="AE121" s="324">
        <f t="shared" ca="1" si="34"/>
        <v>189.41775992030801</v>
      </c>
      <c r="AG121" s="306">
        <f t="shared" ca="1" si="56"/>
        <v>83.687380142162212</v>
      </c>
      <c r="AH121" s="304">
        <f t="shared" ca="1" si="57"/>
        <v>93.326477142613157</v>
      </c>
    </row>
    <row r="122" spans="1:34" x14ac:dyDescent="0.2">
      <c r="A122" s="347">
        <f t="shared" ca="1" si="35"/>
        <v>0.01</v>
      </c>
      <c r="B122" s="304">
        <f t="shared" ca="1" si="36"/>
        <v>1.1800000000000008</v>
      </c>
      <c r="D122" s="306">
        <f t="shared" ca="1" si="37"/>
        <v>17.262443356125068</v>
      </c>
      <c r="E122" s="307">
        <f t="shared" ca="1" si="38"/>
        <v>81.416249353040911</v>
      </c>
      <c r="F122" s="304">
        <f t="shared" ca="1" si="39"/>
        <v>83.226183436103582</v>
      </c>
      <c r="G122" s="306">
        <f t="shared" ca="1" si="40"/>
        <v>41.669374970070322</v>
      </c>
      <c r="H122" s="307">
        <f t="shared" ca="1" si="41"/>
        <v>220.11063366435715</v>
      </c>
      <c r="I122" s="304">
        <f t="shared" ca="1" si="42"/>
        <v>224.02015057249014</v>
      </c>
      <c r="J122" s="306">
        <f t="shared" ca="1" si="43"/>
        <v>35.29231476218547</v>
      </c>
      <c r="K122" s="307">
        <f t="shared" ca="1" si="44"/>
        <v>191.61479544448395</v>
      </c>
      <c r="L122" s="304">
        <f t="shared" ca="1" si="29"/>
        <v>194.83782311066966</v>
      </c>
      <c r="M122" s="306">
        <f t="shared" ca="1" si="45"/>
        <v>1.3836994105709739</v>
      </c>
      <c r="N122" s="304">
        <f t="shared" ca="1" si="46"/>
        <v>79.280136340456494</v>
      </c>
      <c r="P122" s="310">
        <f t="shared" ca="1" si="47"/>
        <v>4</v>
      </c>
      <c r="Q122" s="304">
        <f t="shared" ca="1" si="48"/>
        <v>710.99999999999989</v>
      </c>
      <c r="R122" s="306">
        <f t="shared" ca="1" si="49"/>
        <v>0.35681777328662961</v>
      </c>
      <c r="S122" s="307">
        <f t="shared" ca="1" si="50"/>
        <v>5.5655605386786631</v>
      </c>
      <c r="T122" s="304">
        <f t="shared" ca="1" si="30"/>
        <v>54.598148884437684</v>
      </c>
      <c r="U122" s="311">
        <f t="shared" ca="1" si="31"/>
        <v>0</v>
      </c>
      <c r="V122" s="306">
        <f t="shared" ca="1" si="32"/>
        <v>1.2017499403294434</v>
      </c>
      <c r="W122" s="304">
        <f t="shared" ca="1" si="33"/>
        <v>195.67290730827924</v>
      </c>
      <c r="Y122" s="314" t="str">
        <f t="shared" ca="1" si="51"/>
        <v/>
      </c>
      <c r="Z122" s="315" t="str">
        <f t="shared" ca="1" si="52"/>
        <v/>
      </c>
      <c r="AA122" s="316" t="str">
        <f t="shared" ca="1" si="53"/>
        <v/>
      </c>
      <c r="AC122" s="310" t="e">
        <f t="shared" ca="1" si="54"/>
        <v>#N/A</v>
      </c>
      <c r="AD122" s="323" t="e">
        <f t="shared" ca="1" si="55"/>
        <v>#N/A</v>
      </c>
      <c r="AE122" s="324">
        <f t="shared" ca="1" si="34"/>
        <v>191.61479544448395</v>
      </c>
      <c r="AG122" s="306">
        <f t="shared" ca="1" si="56"/>
        <v>83.206194653113215</v>
      </c>
      <c r="AH122" s="304">
        <f t="shared" ca="1" si="57"/>
        <v>92.845142692801247</v>
      </c>
    </row>
    <row r="123" spans="1:34" x14ac:dyDescent="0.2">
      <c r="A123" s="347">
        <f t="shared" ca="1" si="35"/>
        <v>0.01</v>
      </c>
      <c r="B123" s="304">
        <f t="shared" ca="1" si="36"/>
        <v>1.1900000000000008</v>
      </c>
      <c r="D123" s="306">
        <f t="shared" ca="1" si="37"/>
        <v>17.180324256126177</v>
      </c>
      <c r="E123" s="307">
        <f t="shared" ca="1" si="38"/>
        <v>80.941830602000394</v>
      </c>
      <c r="F123" s="304">
        <f t="shared" ca="1" si="39"/>
        <v>82.745051107293207</v>
      </c>
      <c r="G123" s="306">
        <f t="shared" ca="1" si="40"/>
        <v>41.841178212631583</v>
      </c>
      <c r="H123" s="307">
        <f t="shared" ca="1" si="41"/>
        <v>220.92005197037716</v>
      </c>
      <c r="I123" s="304">
        <f t="shared" ca="1" si="42"/>
        <v>224.84740060053028</v>
      </c>
      <c r="J123" s="306">
        <f t="shared" ca="1" si="43"/>
        <v>35.709867528098982</v>
      </c>
      <c r="K123" s="307">
        <f t="shared" ca="1" si="44"/>
        <v>193.81994887265762</v>
      </c>
      <c r="L123" s="304">
        <f t="shared" ca="1" si="29"/>
        <v>197.08213318277737</v>
      </c>
      <c r="M123" s="306">
        <f t="shared" ca="1" si="45"/>
        <v>1.3836182563640314</v>
      </c>
      <c r="N123" s="304">
        <f t="shared" ca="1" si="46"/>
        <v>79.275486546908951</v>
      </c>
      <c r="P123" s="310">
        <f t="shared" ca="1" si="47"/>
        <v>4</v>
      </c>
      <c r="Q123" s="304">
        <f t="shared" ca="1" si="48"/>
        <v>709.39999999999986</v>
      </c>
      <c r="R123" s="306">
        <f t="shared" ca="1" si="49"/>
        <v>0.35601480783338263</v>
      </c>
      <c r="S123" s="307">
        <f t="shared" ca="1" si="50"/>
        <v>5.5620003906003292</v>
      </c>
      <c r="T123" s="304">
        <f t="shared" ca="1" si="30"/>
        <v>54.56322383178923</v>
      </c>
      <c r="U123" s="311">
        <f t="shared" ca="1" si="31"/>
        <v>0</v>
      </c>
      <c r="V123" s="306">
        <f t="shared" ca="1" si="32"/>
        <v>1.2014849406432131</v>
      </c>
      <c r="W123" s="304">
        <f t="shared" ca="1" si="33"/>
        <v>197.07724978249786</v>
      </c>
      <c r="Y123" s="314" t="str">
        <f t="shared" ca="1" si="51"/>
        <v/>
      </c>
      <c r="Z123" s="315" t="str">
        <f t="shared" ca="1" si="52"/>
        <v/>
      </c>
      <c r="AA123" s="316" t="str">
        <f t="shared" ca="1" si="53"/>
        <v/>
      </c>
      <c r="AC123" s="310" t="e">
        <f t="shared" ca="1" si="54"/>
        <v>#N/A</v>
      </c>
      <c r="AD123" s="323" t="e">
        <f t="shared" ca="1" si="55"/>
        <v>#N/A</v>
      </c>
      <c r="AE123" s="324">
        <f t="shared" ca="1" si="34"/>
        <v>193.81994887265762</v>
      </c>
      <c r="AG123" s="306">
        <f t="shared" ca="1" si="56"/>
        <v>82.724928761703225</v>
      </c>
      <c r="AH123" s="304">
        <f t="shared" ca="1" si="57"/>
        <v>92.363728265806884</v>
      </c>
    </row>
    <row r="124" spans="1:34" x14ac:dyDescent="0.2">
      <c r="A124" s="347">
        <f t="shared" ca="1" si="35"/>
        <v>0.01</v>
      </c>
      <c r="B124" s="304">
        <f t="shared" ca="1" si="36"/>
        <v>1.2000000000000008</v>
      </c>
      <c r="D124" s="306">
        <f t="shared" ca="1" si="37"/>
        <v>17.098092797479705</v>
      </c>
      <c r="E124" s="307">
        <f t="shared" ca="1" si="38"/>
        <v>80.467370541950942</v>
      </c>
      <c r="F124" s="304">
        <f t="shared" ca="1" si="39"/>
        <v>82.263859010180539</v>
      </c>
      <c r="G124" s="306">
        <f t="shared" ca="1" si="40"/>
        <v>42.012159140606379</v>
      </c>
      <c r="H124" s="307">
        <f t="shared" ca="1" si="41"/>
        <v>221.72472567579666</v>
      </c>
      <c r="I124" s="304">
        <f t="shared" ca="1" si="42"/>
        <v>225.66983735462503</v>
      </c>
      <c r="J124" s="306">
        <f t="shared" ca="1" si="43"/>
        <v>36.129134214865175</v>
      </c>
      <c r="K124" s="307">
        <f t="shared" ca="1" si="44"/>
        <v>196.03317276088848</v>
      </c>
      <c r="L124" s="304">
        <f t="shared" ca="1" si="29"/>
        <v>199.3346913154258</v>
      </c>
      <c r="M124" s="306">
        <f t="shared" ca="1" si="45"/>
        <v>1.3835373632552141</v>
      </c>
      <c r="N124" s="304">
        <f t="shared" ca="1" si="46"/>
        <v>79.27085171318204</v>
      </c>
      <c r="P124" s="310">
        <f t="shared" ca="1" si="47"/>
        <v>4</v>
      </c>
      <c r="Q124" s="304">
        <f t="shared" ca="1" si="48"/>
        <v>707.79999999999984</v>
      </c>
      <c r="R124" s="306">
        <f t="shared" ca="1" si="49"/>
        <v>0.35521184238013565</v>
      </c>
      <c r="S124" s="307">
        <f t="shared" ca="1" si="50"/>
        <v>5.5584482721765278</v>
      </c>
      <c r="T124" s="304">
        <f t="shared" ca="1" si="30"/>
        <v>54.528377550051744</v>
      </c>
      <c r="U124" s="311">
        <f t="shared" ca="1" si="31"/>
        <v>0</v>
      </c>
      <c r="V124" s="306">
        <f t="shared" ca="1" si="32"/>
        <v>1.2012190292937353</v>
      </c>
      <c r="W124" s="304">
        <f t="shared" ca="1" si="33"/>
        <v>198.47767060521912</v>
      </c>
      <c r="Y124" s="314" t="str">
        <f t="shared" ca="1" si="51"/>
        <v/>
      </c>
      <c r="Z124" s="315" t="str">
        <f t="shared" ca="1" si="52"/>
        <v/>
      </c>
      <c r="AA124" s="316" t="str">
        <f t="shared" ca="1" si="53"/>
        <v/>
      </c>
      <c r="AC124" s="310" t="e">
        <f t="shared" ca="1" si="54"/>
        <v>#N/A</v>
      </c>
      <c r="AD124" s="323" t="e">
        <f t="shared" ca="1" si="55"/>
        <v>#N/A</v>
      </c>
      <c r="AE124" s="324">
        <f t="shared" ca="1" si="34"/>
        <v>196.03317276088848</v>
      </c>
      <c r="AG124" s="306">
        <f t="shared" ca="1" si="56"/>
        <v>82.243601573747739</v>
      </c>
      <c r="AH124" s="304">
        <f t="shared" ca="1" si="57"/>
        <v>91.882252961493819</v>
      </c>
    </row>
    <row r="125" spans="1:34" x14ac:dyDescent="0.2">
      <c r="A125" s="347">
        <f t="shared" ca="1" si="35"/>
        <v>0.01</v>
      </c>
      <c r="B125" s="304">
        <f t="shared" ca="1" si="36"/>
        <v>1.2100000000000009</v>
      </c>
      <c r="D125" s="306">
        <f t="shared" ca="1" si="37"/>
        <v>17.01575319498059</v>
      </c>
      <c r="E125" s="307">
        <f t="shared" ca="1" si="38"/>
        <v>79.992887699660315</v>
      </c>
      <c r="F125" s="304">
        <f t="shared" ca="1" si="39"/>
        <v>81.782626145917803</v>
      </c>
      <c r="G125" s="306">
        <f t="shared" ca="1" si="40"/>
        <v>42.182316672556183</v>
      </c>
      <c r="H125" s="307">
        <f t="shared" ca="1" si="41"/>
        <v>222.52465455279327</v>
      </c>
      <c r="I125" s="304">
        <f t="shared" ca="1" si="42"/>
        <v>226.48746041161704</v>
      </c>
      <c r="J125" s="306">
        <f t="shared" ca="1" si="43"/>
        <v>36.550106593930991</v>
      </c>
      <c r="K125" s="307">
        <f t="shared" ca="1" si="44"/>
        <v>198.25441966203144</v>
      </c>
      <c r="L125" s="304">
        <f t="shared" ca="1" si="29"/>
        <v>201.5954493721438</v>
      </c>
      <c r="M125" s="306">
        <f t="shared" ca="1" si="45"/>
        <v>1.3834567277462035</v>
      </c>
      <c r="N125" s="304">
        <f t="shared" ca="1" si="46"/>
        <v>79.266231638836842</v>
      </c>
      <c r="P125" s="310">
        <f t="shared" ca="1" si="47"/>
        <v>4</v>
      </c>
      <c r="Q125" s="304">
        <f t="shared" ca="1" si="48"/>
        <v>706.19999999999982</v>
      </c>
      <c r="R125" s="306">
        <f t="shared" ca="1" si="49"/>
        <v>0.35440887692688861</v>
      </c>
      <c r="S125" s="307">
        <f t="shared" ca="1" si="50"/>
        <v>5.5549041834072588</v>
      </c>
      <c r="T125" s="304">
        <f t="shared" ca="1" si="30"/>
        <v>54.49361003922521</v>
      </c>
      <c r="U125" s="311">
        <f t="shared" ca="1" si="31"/>
        <v>0</v>
      </c>
      <c r="V125" s="306">
        <f t="shared" ca="1" si="32"/>
        <v>1.2009522125981764</v>
      </c>
      <c r="W125" s="304">
        <f t="shared" ca="1" si="33"/>
        <v>199.87407632636169</v>
      </c>
      <c r="Y125" s="314" t="str">
        <f t="shared" ca="1" si="51"/>
        <v/>
      </c>
      <c r="Z125" s="315" t="str">
        <f t="shared" ca="1" si="52"/>
        <v/>
      </c>
      <c r="AA125" s="316" t="str">
        <f t="shared" ca="1" si="53"/>
        <v/>
      </c>
      <c r="AC125" s="310" t="e">
        <f t="shared" ca="1" si="54"/>
        <v>#N/A</v>
      </c>
      <c r="AD125" s="323" t="e">
        <f t="shared" ca="1" si="55"/>
        <v>#N/A</v>
      </c>
      <c r="AE125" s="324">
        <f t="shared" ca="1" si="34"/>
        <v>198.25441966203144</v>
      </c>
      <c r="AG125" s="306">
        <f t="shared" ca="1" si="56"/>
        <v>81.762232067158649</v>
      </c>
      <c r="AH125" s="304">
        <f t="shared" ca="1" si="57"/>
        <v>91.400735751908996</v>
      </c>
    </row>
    <row r="126" spans="1:34" x14ac:dyDescent="0.2">
      <c r="A126" s="347">
        <f t="shared" ca="1" si="35"/>
        <v>0.01</v>
      </c>
      <c r="B126" s="304">
        <f t="shared" ca="1" si="36"/>
        <v>1.2200000000000009</v>
      </c>
      <c r="D126" s="306">
        <f t="shared" ca="1" si="37"/>
        <v>16.933309633913794</v>
      </c>
      <c r="E126" s="307">
        <f t="shared" ca="1" si="38"/>
        <v>79.518400475777241</v>
      </c>
      <c r="F126" s="304">
        <f t="shared" ca="1" si="39"/>
        <v>81.301371386859685</v>
      </c>
      <c r="G126" s="306">
        <f t="shared" ca="1" si="40"/>
        <v>42.351649768895321</v>
      </c>
      <c r="H126" s="307">
        <f t="shared" ca="1" si="41"/>
        <v>223.31983855755104</v>
      </c>
      <c r="I126" s="304">
        <f t="shared" ca="1" si="42"/>
        <v>227.30026953683497</v>
      </c>
      <c r="J126" s="306">
        <f t="shared" ca="1" si="43"/>
        <v>36.972776426138246</v>
      </c>
      <c r="K126" s="307">
        <f t="shared" ca="1" si="44"/>
        <v>200.48364212758315</v>
      </c>
      <c r="L126" s="304">
        <f t="shared" ca="1" si="29"/>
        <v>203.864359213174</v>
      </c>
      <c r="M126" s="306">
        <f t="shared" ca="1" si="45"/>
        <v>1.3833763463912274</v>
      </c>
      <c r="N126" s="304">
        <f t="shared" ca="1" si="46"/>
        <v>79.261626126445165</v>
      </c>
      <c r="P126" s="310">
        <f t="shared" ca="1" si="47"/>
        <v>4</v>
      </c>
      <c r="Q126" s="304">
        <f t="shared" ca="1" si="48"/>
        <v>704.5999999999998</v>
      </c>
      <c r="R126" s="306">
        <f t="shared" ca="1" si="49"/>
        <v>0.35360591147364162</v>
      </c>
      <c r="S126" s="307">
        <f t="shared" ca="1" si="50"/>
        <v>5.5513681242925221</v>
      </c>
      <c r="T126" s="304">
        <f t="shared" ca="1" si="30"/>
        <v>54.458921299309644</v>
      </c>
      <c r="U126" s="311">
        <f t="shared" ca="1" si="31"/>
        <v>0</v>
      </c>
      <c r="V126" s="306">
        <f t="shared" ca="1" si="32"/>
        <v>1.2006844968707471</v>
      </c>
      <c r="W126" s="304">
        <f t="shared" ca="1" si="33"/>
        <v>201.26637448762898</v>
      </c>
      <c r="Y126" s="314" t="str">
        <f t="shared" ca="1" si="51"/>
        <v/>
      </c>
      <c r="Z126" s="315" t="str">
        <f t="shared" ca="1" si="52"/>
        <v/>
      </c>
      <c r="AA126" s="316" t="str">
        <f t="shared" ca="1" si="53"/>
        <v/>
      </c>
      <c r="AC126" s="310" t="e">
        <f t="shared" ca="1" si="54"/>
        <v>#N/A</v>
      </c>
      <c r="AD126" s="323" t="e">
        <f t="shared" ca="1" si="55"/>
        <v>#N/A</v>
      </c>
      <c r="AE126" s="324">
        <f t="shared" ca="1" si="34"/>
        <v>200.48364212758315</v>
      </c>
      <c r="AG126" s="306">
        <f t="shared" ca="1" si="56"/>
        <v>81.280839090599642</v>
      </c>
      <c r="AH126" s="304">
        <f t="shared" ca="1" si="57"/>
        <v>90.919195479936121</v>
      </c>
    </row>
    <row r="127" spans="1:34" x14ac:dyDescent="0.2">
      <c r="A127" s="347">
        <f t="shared" ca="1" si="35"/>
        <v>0.01</v>
      </c>
      <c r="B127" s="304">
        <f t="shared" ca="1" si="36"/>
        <v>1.2300000000000009</v>
      </c>
      <c r="D127" s="306">
        <f t="shared" ca="1" si="37"/>
        <v>16.850766269937402</v>
      </c>
      <c r="E127" s="307">
        <f t="shared" ca="1" si="38"/>
        <v>79.043927143523504</v>
      </c>
      <c r="F127" s="304">
        <f t="shared" ca="1" si="39"/>
        <v>80.820113475265003</v>
      </c>
      <c r="G127" s="306">
        <f t="shared" ca="1" si="40"/>
        <v>42.520157431594697</v>
      </c>
      <c r="H127" s="307">
        <f t="shared" ca="1" si="41"/>
        <v>224.11027782898628</v>
      </c>
      <c r="I127" s="304">
        <f t="shared" ca="1" si="42"/>
        <v>228.10826468278833</v>
      </c>
      <c r="J127" s="306">
        <f t="shared" ca="1" si="43"/>
        <v>37.397135462140696</v>
      </c>
      <c r="K127" s="307">
        <f t="shared" ca="1" si="44"/>
        <v>202.72079270951585</v>
      </c>
      <c r="L127" s="304">
        <f t="shared" ca="1" si="29"/>
        <v>206.14137269735107</v>
      </c>
      <c r="M127" s="306">
        <f t="shared" ca="1" si="45"/>
        <v>1.3832962157959612</v>
      </c>
      <c r="N127" s="304">
        <f t="shared" ca="1" si="46"/>
        <v>79.25703498152653</v>
      </c>
      <c r="P127" s="310">
        <f t="shared" ca="1" si="47"/>
        <v>4</v>
      </c>
      <c r="Q127" s="304">
        <f t="shared" ca="1" si="48"/>
        <v>702.99999999999989</v>
      </c>
      <c r="R127" s="306">
        <f t="shared" ca="1" si="49"/>
        <v>0.35280294602039469</v>
      </c>
      <c r="S127" s="307">
        <f t="shared" ca="1" si="50"/>
        <v>5.5478400948323179</v>
      </c>
      <c r="T127" s="304">
        <f t="shared" ca="1" si="30"/>
        <v>54.424311330305038</v>
      </c>
      <c r="U127" s="311">
        <f t="shared" ca="1" si="31"/>
        <v>0</v>
      </c>
      <c r="V127" s="306">
        <f t="shared" ca="1" si="32"/>
        <v>1.2004158884224376</v>
      </c>
      <c r="W127" s="304">
        <f t="shared" ca="1" si="33"/>
        <v>202.65447362577984</v>
      </c>
      <c r="Y127" s="314" t="str">
        <f t="shared" ca="1" si="51"/>
        <v/>
      </c>
      <c r="Z127" s="315" t="str">
        <f t="shared" ca="1" si="52"/>
        <v/>
      </c>
      <c r="AA127" s="316" t="str">
        <f t="shared" ca="1" si="53"/>
        <v/>
      </c>
      <c r="AC127" s="310" t="e">
        <f t="shared" ca="1" si="54"/>
        <v>#N/A</v>
      </c>
      <c r="AD127" s="323" t="e">
        <f t="shared" ca="1" si="55"/>
        <v>#N/A</v>
      </c>
      <c r="AE127" s="324">
        <f t="shared" ca="1" si="34"/>
        <v>202.72079270951585</v>
      </c>
      <c r="AG127" s="306">
        <f t="shared" ca="1" si="56"/>
        <v>80.799441362176452</v>
      </c>
      <c r="AH127" s="304">
        <f t="shared" ca="1" si="57"/>
        <v>90.437650857984167</v>
      </c>
    </row>
    <row r="128" spans="1:34" x14ac:dyDescent="0.2">
      <c r="A128" s="347">
        <f t="shared" ca="1" si="35"/>
        <v>0.01</v>
      </c>
      <c r="B128" s="304">
        <f t="shared" ca="1" si="36"/>
        <v>1.2400000000000009</v>
      </c>
      <c r="D128" s="306">
        <f t="shared" ca="1" si="37"/>
        <v>16.768127228967661</v>
      </c>
      <c r="E128" s="307">
        <f t="shared" ca="1" si="38"/>
        <v>78.56948584742085</v>
      </c>
      <c r="F128" s="304">
        <f t="shared" ca="1" si="39"/>
        <v>80.338871022033359</v>
      </c>
      <c r="G128" s="306">
        <f t="shared" ca="1" si="40"/>
        <v>42.687838703884374</v>
      </c>
      <c r="H128" s="307">
        <f t="shared" ca="1" si="41"/>
        <v>224.8959726874605</v>
      </c>
      <c r="I128" s="304">
        <f t="shared" ca="1" si="42"/>
        <v>228.91144598784882</v>
      </c>
      <c r="J128" s="306">
        <f t="shared" ca="1" si="43"/>
        <v>37.823175442818091</v>
      </c>
      <c r="K128" s="307">
        <f t="shared" ca="1" si="44"/>
        <v>204.96582396209809</v>
      </c>
      <c r="L128" s="304">
        <f t="shared" ca="1" si="29"/>
        <v>208.42644168396671</v>
      </c>
      <c r="M128" s="306">
        <f t="shared" ca="1" si="45"/>
        <v>1.383216332616459</v>
      </c>
      <c r="N128" s="304">
        <f t="shared" ca="1" si="46"/>
        <v>79.252458012486983</v>
      </c>
      <c r="P128" s="310">
        <f t="shared" ca="1" si="47"/>
        <v>4</v>
      </c>
      <c r="Q128" s="304">
        <f t="shared" ca="1" si="48"/>
        <v>701.39999999999986</v>
      </c>
      <c r="R128" s="306">
        <f t="shared" ca="1" si="49"/>
        <v>0.35199998056714771</v>
      </c>
      <c r="S128" s="307">
        <f t="shared" ca="1" si="50"/>
        <v>5.544320095026646</v>
      </c>
      <c r="T128" s="304">
        <f t="shared" ca="1" si="30"/>
        <v>54.389780132211399</v>
      </c>
      <c r="U128" s="311">
        <f t="shared" ca="1" si="31"/>
        <v>0</v>
      </c>
      <c r="V128" s="306">
        <f t="shared" ca="1" si="32"/>
        <v>1.2001463935607555</v>
      </c>
      <c r="W128" s="304">
        <f t="shared" ca="1" si="33"/>
        <v>204.03828327569408</v>
      </c>
      <c r="Y128" s="314" t="str">
        <f t="shared" ca="1" si="51"/>
        <v/>
      </c>
      <c r="Z128" s="315" t="str">
        <f t="shared" ca="1" si="52"/>
        <v/>
      </c>
      <c r="AA128" s="316" t="str">
        <f t="shared" ca="1" si="53"/>
        <v/>
      </c>
      <c r="AC128" s="310" t="e">
        <f t="shared" ca="1" si="54"/>
        <v>#N/A</v>
      </c>
      <c r="AD128" s="323" t="e">
        <f t="shared" ca="1" si="55"/>
        <v>#N/A</v>
      </c>
      <c r="AE128" s="324">
        <f t="shared" ca="1" si="34"/>
        <v>204.96582396209809</v>
      </c>
      <c r="AG128" s="306">
        <f t="shared" ca="1" si="56"/>
        <v>80.318057468161584</v>
      </c>
      <c r="AH128" s="304">
        <f t="shared" ca="1" si="57"/>
        <v>89.956120466710374</v>
      </c>
    </row>
    <row r="129" spans="1:34" x14ac:dyDescent="0.2">
      <c r="A129" s="347">
        <f t="shared" ca="1" si="35"/>
        <v>0.01</v>
      </c>
      <c r="B129" s="304">
        <f t="shared" ca="1" si="36"/>
        <v>1.2500000000000009</v>
      </c>
      <c r="D129" s="306">
        <f t="shared" ca="1" si="37"/>
        <v>16.685396607065851</v>
      </c>
      <c r="E129" s="307">
        <f t="shared" ca="1" si="38"/>
        <v>78.095094602052825</v>
      </c>
      <c r="F129" s="304">
        <f t="shared" ca="1" si="39"/>
        <v>79.857662505476981</v>
      </c>
      <c r="G129" s="306">
        <f t="shared" ca="1" si="40"/>
        <v>42.854692669955035</v>
      </c>
      <c r="H129" s="307">
        <f t="shared" ca="1" si="41"/>
        <v>225.67692363348104</v>
      </c>
      <c r="I129" s="304">
        <f t="shared" ca="1" si="42"/>
        <v>229.70981377491978</v>
      </c>
      <c r="J129" s="306">
        <f t="shared" ca="1" si="43"/>
        <v>38.250888099687288</v>
      </c>
      <c r="K129" s="307">
        <f t="shared" ca="1" si="44"/>
        <v>207.2186884437028</v>
      </c>
      <c r="L129" s="304">
        <f t="shared" ca="1" si="29"/>
        <v>210.71951803462147</v>
      </c>
      <c r="M129" s="306">
        <f t="shared" ca="1" si="45"/>
        <v>1.3831366935581095</v>
      </c>
      <c r="N129" s="304">
        <f t="shared" ca="1" si="46"/>
        <v>79.24789503055915</v>
      </c>
      <c r="P129" s="310">
        <f t="shared" ca="1" si="47"/>
        <v>4</v>
      </c>
      <c r="Q129" s="304">
        <f t="shared" ca="1" si="48"/>
        <v>699.79999999999984</v>
      </c>
      <c r="R129" s="306">
        <f t="shared" ca="1" si="49"/>
        <v>0.35119701511390067</v>
      </c>
      <c r="S129" s="307">
        <f t="shared" ca="1" si="50"/>
        <v>5.5408081248755074</v>
      </c>
      <c r="T129" s="304">
        <f t="shared" ca="1" si="30"/>
        <v>54.355327705028728</v>
      </c>
      <c r="U129" s="311">
        <f t="shared" ca="1" si="31"/>
        <v>0</v>
      </c>
      <c r="V129" s="306">
        <f t="shared" ca="1" si="32"/>
        <v>1.1998760185894652</v>
      </c>
      <c r="W129" s="304">
        <f t="shared" ca="1" si="33"/>
        <v>205.41771397323677</v>
      </c>
      <c r="Y129" s="314" t="str">
        <f t="shared" ca="1" si="51"/>
        <v/>
      </c>
      <c r="Z129" s="315" t="str">
        <f t="shared" ca="1" si="52"/>
        <v/>
      </c>
      <c r="AA129" s="316" t="str">
        <f t="shared" ca="1" si="53"/>
        <v/>
      </c>
      <c r="AC129" s="310" t="e">
        <f t="shared" ca="1" si="54"/>
        <v>#N/A</v>
      </c>
      <c r="AD129" s="323" t="e">
        <f t="shared" ca="1" si="55"/>
        <v>#N/A</v>
      </c>
      <c r="AE129" s="324">
        <f t="shared" ca="1" si="34"/>
        <v>207.2186884437028</v>
      </c>
      <c r="AG129" s="306">
        <f t="shared" ca="1" si="56"/>
        <v>79.836705861754041</v>
      </c>
      <c r="AH129" s="304">
        <f t="shared" ca="1" si="57"/>
        <v>89.474622753778306</v>
      </c>
    </row>
    <row r="130" spans="1:34" x14ac:dyDescent="0.2">
      <c r="A130" s="347">
        <f t="shared" ca="1" si="35"/>
        <v>0.01</v>
      </c>
      <c r="B130" s="304">
        <f t="shared" ca="1" si="36"/>
        <v>1.2600000000000009</v>
      </c>
      <c r="D130" s="306">
        <f t="shared" ca="1" si="37"/>
        <v>16.602578470327572</v>
      </c>
      <c r="E130" s="307">
        <f t="shared" ca="1" si="38"/>
        <v>77.620771290861384</v>
      </c>
      <c r="F130" s="304">
        <f t="shared" ca="1" si="39"/>
        <v>79.376506270127535</v>
      </c>
      <c r="G130" s="306">
        <f t="shared" ca="1" si="40"/>
        <v>43.020718454658308</v>
      </c>
      <c r="H130" s="307">
        <f t="shared" ca="1" si="41"/>
        <v>226.45313134638965</v>
      </c>
      <c r="I130" s="304">
        <f t="shared" ca="1" si="42"/>
        <v>230.5033685500934</v>
      </c>
      <c r="J130" s="306">
        <f t="shared" ca="1" si="43"/>
        <v>38.680265155310352</v>
      </c>
      <c r="K130" s="307">
        <f t="shared" ca="1" si="44"/>
        <v>209.47933871860215</v>
      </c>
      <c r="L130" s="304">
        <f t="shared" ca="1" si="29"/>
        <v>213.02055361506311</v>
      </c>
      <c r="M130" s="306">
        <f t="shared" ca="1" si="45"/>
        <v>1.3830572953746212</v>
      </c>
      <c r="N130" s="304">
        <f t="shared" ca="1" si="46"/>
        <v>79.243345849744273</v>
      </c>
      <c r="P130" s="310">
        <f t="shared" ca="1" si="47"/>
        <v>4</v>
      </c>
      <c r="Q130" s="304">
        <f t="shared" ca="1" si="48"/>
        <v>698.19999999999982</v>
      </c>
      <c r="R130" s="306">
        <f t="shared" ca="1" si="49"/>
        <v>0.35039404966065368</v>
      </c>
      <c r="S130" s="307">
        <f t="shared" ca="1" si="50"/>
        <v>5.5373041843789013</v>
      </c>
      <c r="T130" s="304">
        <f t="shared" ca="1" si="30"/>
        <v>54.320954048757024</v>
      </c>
      <c r="U130" s="311">
        <f t="shared" ca="1" si="31"/>
        <v>0</v>
      </c>
      <c r="V130" s="306">
        <f t="shared" ca="1" si="32"/>
        <v>1.199604769808329</v>
      </c>
      <c r="W130" s="304">
        <f t="shared" ca="1" si="33"/>
        <v>206.79267725792158</v>
      </c>
      <c r="Y130" s="314" t="str">
        <f t="shared" ca="1" si="51"/>
        <v/>
      </c>
      <c r="Z130" s="315" t="str">
        <f t="shared" ca="1" si="52"/>
        <v/>
      </c>
      <c r="AA130" s="316" t="str">
        <f t="shared" ca="1" si="53"/>
        <v/>
      </c>
      <c r="AC130" s="310" t="e">
        <f t="shared" ca="1" si="54"/>
        <v>#N/A</v>
      </c>
      <c r="AD130" s="323" t="e">
        <f t="shared" ca="1" si="55"/>
        <v>#N/A</v>
      </c>
      <c r="AE130" s="324">
        <f t="shared" ca="1" si="34"/>
        <v>209.47933871860215</v>
      </c>
      <c r="AG130" s="306">
        <f t="shared" ca="1" si="56"/>
        <v>79.355404861873481</v>
      </c>
      <c r="AH130" s="304">
        <f t="shared" ca="1" si="57"/>
        <v>88.993176032650368</v>
      </c>
    </row>
    <row r="131" spans="1:34" x14ac:dyDescent="0.2">
      <c r="A131" s="347">
        <f t="shared" ca="1" si="35"/>
        <v>0.01</v>
      </c>
      <c r="B131" s="304">
        <f t="shared" ca="1" si="36"/>
        <v>1.2700000000000009</v>
      </c>
      <c r="D131" s="306">
        <f t="shared" ca="1" si="37"/>
        <v>16.519676854773941</v>
      </c>
      <c r="E131" s="307">
        <f t="shared" ca="1" si="38"/>
        <v>77.14653366497798</v>
      </c>
      <c r="F131" s="304">
        <f t="shared" ca="1" si="39"/>
        <v>78.89542052557762</v>
      </c>
      <c r="G131" s="306">
        <f t="shared" ca="1" si="40"/>
        <v>43.185915223206045</v>
      </c>
      <c r="H131" s="307">
        <f t="shared" ca="1" si="41"/>
        <v>227.22459668303944</v>
      </c>
      <c r="I131" s="304">
        <f t="shared" ca="1" si="42"/>
        <v>231.29211100129609</v>
      </c>
      <c r="J131" s="306">
        <f t="shared" ca="1" si="43"/>
        <v>39.111298323699671</v>
      </c>
      <c r="K131" s="307">
        <f t="shared" ca="1" si="44"/>
        <v>211.7477273587493</v>
      </c>
      <c r="L131" s="304">
        <f t="shared" ca="1" si="29"/>
        <v>215.32950029701146</v>
      </c>
      <c r="M131" s="306">
        <f t="shared" ca="1" si="45"/>
        <v>1.382978134867032</v>
      </c>
      <c r="N131" s="304">
        <f t="shared" ca="1" si="46"/>
        <v>79.238810286755296</v>
      </c>
      <c r="P131" s="310">
        <f t="shared" ca="1" si="47"/>
        <v>4</v>
      </c>
      <c r="Q131" s="304">
        <f t="shared" ca="1" si="48"/>
        <v>696.5999999999998</v>
      </c>
      <c r="R131" s="306">
        <f t="shared" ca="1" si="49"/>
        <v>0.3495910842074067</v>
      </c>
      <c r="S131" s="307">
        <f t="shared" ca="1" si="50"/>
        <v>5.5338082735368275</v>
      </c>
      <c r="T131" s="304">
        <f t="shared" ca="1" si="30"/>
        <v>54.28665916339628</v>
      </c>
      <c r="U131" s="311">
        <f t="shared" ca="1" si="31"/>
        <v>0</v>
      </c>
      <c r="V131" s="306">
        <f t="shared" ca="1" si="32"/>
        <v>1.1993326535128523</v>
      </c>
      <c r="W131" s="304">
        <f t="shared" ca="1" si="33"/>
        <v>208.16308567537564</v>
      </c>
      <c r="Y131" s="314" t="str">
        <f t="shared" ca="1" si="51"/>
        <v/>
      </c>
      <c r="Z131" s="315" t="str">
        <f t="shared" ca="1" si="52"/>
        <v/>
      </c>
      <c r="AA131" s="316" t="str">
        <f t="shared" ca="1" si="53"/>
        <v/>
      </c>
      <c r="AC131" s="310" t="e">
        <f t="shared" ca="1" si="54"/>
        <v>#N/A</v>
      </c>
      <c r="AD131" s="323" t="e">
        <f t="shared" ca="1" si="55"/>
        <v>#N/A</v>
      </c>
      <c r="AE131" s="324">
        <f t="shared" ca="1" si="34"/>
        <v>211.7477273587493</v>
      </c>
      <c r="AG131" s="306">
        <f t="shared" ca="1" si="56"/>
        <v>78.8741726519889</v>
      </c>
      <c r="AH131" s="304">
        <f t="shared" ca="1" si="57"/>
        <v>88.511798481414914</v>
      </c>
    </row>
    <row r="132" spans="1:34" x14ac:dyDescent="0.2">
      <c r="A132" s="347">
        <f t="shared" ca="1" si="35"/>
        <v>0.01</v>
      </c>
      <c r="B132" s="304">
        <f t="shared" ca="1" si="36"/>
        <v>1.2800000000000009</v>
      </c>
      <c r="D132" s="306">
        <f t="shared" ca="1" si="37"/>
        <v>16.436695766245329</v>
      </c>
      <c r="E132" s="307">
        <f t="shared" ca="1" si="38"/>
        <v>76.672399342089236</v>
      </c>
      <c r="F132" s="304">
        <f t="shared" ca="1" si="39"/>
        <v>78.414423345357278</v>
      </c>
      <c r="G132" s="306">
        <f t="shared" ca="1" si="40"/>
        <v>43.350282180868497</v>
      </c>
      <c r="H132" s="307">
        <f t="shared" ca="1" si="41"/>
        <v>227.99132067646033</v>
      </c>
      <c r="I132" s="304">
        <f t="shared" ca="1" si="42"/>
        <v>232.07604199692284</v>
      </c>
      <c r="J132" s="306">
        <f t="shared" ca="1" si="43"/>
        <v>39.543979310720047</v>
      </c>
      <c r="K132" s="307">
        <f t="shared" ca="1" si="44"/>
        <v>214.0238069455468</v>
      </c>
      <c r="L132" s="304">
        <f t="shared" ref="L132:L195" ca="1" si="58">SQRT(pos_x^2+pos_z^2)</f>
        <v>217.64630995996998</v>
      </c>
      <c r="M132" s="306">
        <f t="shared" ca="1" si="45"/>
        <v>1.3828992088827441</v>
      </c>
      <c r="N132" s="304">
        <f t="shared" ca="1" si="46"/>
        <v>79.234288160961682</v>
      </c>
      <c r="P132" s="310">
        <f t="shared" ca="1" si="47"/>
        <v>4</v>
      </c>
      <c r="Q132" s="304">
        <f t="shared" ca="1" si="48"/>
        <v>694.99999999999989</v>
      </c>
      <c r="R132" s="306">
        <f t="shared" ca="1" si="49"/>
        <v>0.34878811875415977</v>
      </c>
      <c r="S132" s="307">
        <f t="shared" ca="1" si="50"/>
        <v>5.5303203923492861</v>
      </c>
      <c r="T132" s="304">
        <f t="shared" ref="T132:T195" ca="1" si="59">m*g</f>
        <v>54.252443048946496</v>
      </c>
      <c r="U132" s="311">
        <f t="shared" ref="U132:U195" ca="1" si="60">IF(pos_xz&lt;L_rampe,Poids*COS(Beta),0)</f>
        <v>0</v>
      </c>
      <c r="V132" s="306">
        <f t="shared" ref="V132:V195" ca="1" si="61">Rho_moyen*(20000-Alt_rampe-pos_z)/(20000+Alt_rampe+pos_z)</f>
        <v>1.1990596759940284</v>
      </c>
      <c r="W132" s="304">
        <f t="shared" ref="W132:W195" ca="1" si="62">1/2*Rho*Sref*Cx*vit_xz^2</f>
        <v>209.52885277960669</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214.0238069455468</v>
      </c>
      <c r="AG132" s="306">
        <f t="shared" ca="1" si="56"/>
        <v>78.393027278981691</v>
      </c>
      <c r="AH132" s="304">
        <f t="shared" ca="1" si="57"/>
        <v>88.030508141647715</v>
      </c>
    </row>
    <row r="133" spans="1:34" x14ac:dyDescent="0.2">
      <c r="A133" s="347">
        <f t="shared" ref="A133:A196" ca="1" si="64">IF(B132+0.01&lt;=T_ini+ROUNDUP(Temps_fin_propu,0), 0.01, IF(K132&gt;0, 0.1, 0.0001))</f>
        <v>0.01</v>
      </c>
      <c r="B133" s="304">
        <f t="shared" ref="B133:B196" ca="1" si="65">B132+pas</f>
        <v>1.2900000000000009</v>
      </c>
      <c r="D133" s="306">
        <f t="shared" ref="D133:D196" ca="1" si="66">IF(AND(L132&lt;L_rampe,Poussee&lt;Poids*SIN(M132)),0,(-W132+Poussee)/m*COS(M132)-U132/m*SIN(M132))</f>
        <v>16.353639180297627</v>
      </c>
      <c r="E133" s="307">
        <f t="shared" ref="E133:E196" ca="1" si="67">IF(AND(L132&lt;L_rampe,Poussee&lt;Poids*SIN(M132)),0,(-W132+Poussee)/m*SIN(M132)+U132/m*COS(M132)-Poids/m)</f>
        <v>76.198385805337011</v>
      </c>
      <c r="F133" s="304">
        <f t="shared" ref="F133:F196" ca="1" si="68">SQRT(acc_x^2+acc_z^2)</f>
        <v>77.933532665845135</v>
      </c>
      <c r="G133" s="306">
        <f t="shared" ref="G133:G196" ca="1" si="69">G132+acc_x*pas</f>
        <v>43.513818572671475</v>
      </c>
      <c r="H133" s="307">
        <f t="shared" ref="H133:H196" ca="1" si="70">H132+acc_z*pas</f>
        <v>228.75330453451372</v>
      </c>
      <c r="I133" s="304">
        <f t="shared" ref="I133:I196" ca="1" si="71">SQRT(vit_x^2+vit_z^2)</f>
        <v>232.85516258446009</v>
      </c>
      <c r="J133" s="306">
        <f t="shared" ref="J133:J196" ca="1" si="72">J132+0.5*(vit_x+G132)*pas*(K132&gt;=0)</f>
        <v>39.978299814487748</v>
      </c>
      <c r="K133" s="307">
        <f t="shared" ref="K133:K196" ca="1" si="73">K132+0.5*(vit_z+H132)*pas</f>
        <v>216.30753007160166</v>
      </c>
      <c r="L133" s="304">
        <f t="shared" ca="1" si="58"/>
        <v>219.97093449302324</v>
      </c>
      <c r="M133" s="306">
        <f t="shared" ref="M133:M196" ca="1" si="74">IF(AND(L132&gt;L_rampe,G133&gt;0),ATAN2(G133,H133),$M$4)</f>
        <v>1.3828205143145824</v>
      </c>
      <c r="N133" s="304">
        <f t="shared" ref="N133:N196" ca="1" si="75">DEGREES(Beta)</f>
        <v>79.229779294335415</v>
      </c>
      <c r="P133" s="310">
        <f t="shared" ref="P133:P196" ca="1" si="76">MATCH(t-pas/2-T_ini,CdP_t)</f>
        <v>4</v>
      </c>
      <c r="Q133" s="304">
        <f t="shared" ref="Q133:Q196" ca="1" si="77">(INDEX(CdP,2,i_P+1)-INDEX(CdP,2,i_P+0))/(INDEX(CdP,1,i_P+1)-INDEX(CdP,1,i_P+0))*(t-pas/2-T_ini-INDEX(CdP,1,i_P+0))+INDEX(CdP,2,i_P+0)</f>
        <v>693.39999999999986</v>
      </c>
      <c r="R133" s="306">
        <f t="shared" ref="R133:R196" ca="1" si="78">Poussee/(g*ISP)</f>
        <v>0.34798515330091273</v>
      </c>
      <c r="S133" s="307">
        <f t="shared" ref="S133:S196" ca="1" si="79">S132-Débit*pas</f>
        <v>5.5268405408162771</v>
      </c>
      <c r="T133" s="304">
        <f t="shared" ca="1" si="59"/>
        <v>54.21830570540768</v>
      </c>
      <c r="U133" s="311">
        <f t="shared" ca="1" si="60"/>
        <v>0</v>
      </c>
      <c r="V133" s="306">
        <f t="shared" ca="1" si="61"/>
        <v>1.1987858435380883</v>
      </c>
      <c r="W133" s="304">
        <f t="shared" ca="1" si="62"/>
        <v>210.88989313507508</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216.30753007160166</v>
      </c>
      <c r="AG133" s="306">
        <f t="shared" ref="AG133:AG196" ca="1" si="85">IF(AND(L132&lt;L_rampe,Poussee&lt;Poids*SIN(M132)),0,(-W132+Poussee)/m-Poids*SIN(M132)/m)</f>
        <v>77.911986652043083</v>
      </c>
      <c r="AH133" s="304">
        <f t="shared" ref="AH133:AH196" ca="1" si="86">IF(AND(L132&lt;L_rampe,Poussee&lt;Poids*SIN(M132)), g*SIN(M132), (-W132+Poussee)/m)</f>
        <v>87.549322917307947</v>
      </c>
    </row>
    <row r="134" spans="1:34" x14ac:dyDescent="0.2">
      <c r="A134" s="347">
        <f t="shared" ca="1" si="64"/>
        <v>0.01</v>
      </c>
      <c r="B134" s="304">
        <f t="shared" ca="1" si="65"/>
        <v>1.3000000000000009</v>
      </c>
      <c r="D134" s="306">
        <f t="shared" ca="1" si="66"/>
        <v>16.270511042101027</v>
      </c>
      <c r="E134" s="307">
        <f t="shared" ca="1" si="67"/>
        <v>75.724510402252633</v>
      </c>
      <c r="F134" s="304">
        <f t="shared" ca="1" si="68"/>
        <v>77.452766285214096</v>
      </c>
      <c r="G134" s="306">
        <f t="shared" ca="1" si="69"/>
        <v>43.676523683092483</v>
      </c>
      <c r="H134" s="307">
        <f t="shared" ca="1" si="70"/>
        <v>229.51054963853625</v>
      </c>
      <c r="I134" s="304">
        <f t="shared" ca="1" si="71"/>
        <v>233.62947398909827</v>
      </c>
      <c r="J134" s="306">
        <f t="shared" ca="1" si="72"/>
        <v>40.414251525766566</v>
      </c>
      <c r="K134" s="307">
        <f t="shared" ca="1" si="73"/>
        <v>218.59884934246691</v>
      </c>
      <c r="L134" s="304">
        <f t="shared" ca="1" si="58"/>
        <v>222.30332579662067</v>
      </c>
      <c r="M134" s="306">
        <f t="shared" ca="1" si="74"/>
        <v>1.3827420480998791</v>
      </c>
      <c r="N134" s="304">
        <f t="shared" ca="1" si="75"/>
        <v>79.225283511398544</v>
      </c>
      <c r="P134" s="310">
        <f t="shared" ca="1" si="76"/>
        <v>4</v>
      </c>
      <c r="Q134" s="304">
        <f t="shared" ca="1" si="77"/>
        <v>691.79999999999984</v>
      </c>
      <c r="R134" s="306">
        <f t="shared" ca="1" si="78"/>
        <v>0.34718218784766575</v>
      </c>
      <c r="S134" s="307">
        <f t="shared" ca="1" si="79"/>
        <v>5.5233687189378005</v>
      </c>
      <c r="T134" s="304">
        <f t="shared" ca="1" si="59"/>
        <v>54.184247132779824</v>
      </c>
      <c r="U134" s="311">
        <f t="shared" ca="1" si="60"/>
        <v>0</v>
      </c>
      <c r="V134" s="306">
        <f t="shared" ca="1" si="61"/>
        <v>1.1985111624262499</v>
      </c>
      <c r="W134" s="304">
        <f t="shared" ca="1" si="62"/>
        <v>212.24612231857137</v>
      </c>
      <c r="Y134" s="314" t="str">
        <f t="shared" ca="1" si="80"/>
        <v/>
      </c>
      <c r="Z134" s="315" t="str">
        <f t="shared" ca="1" si="81"/>
        <v/>
      </c>
      <c r="AA134" s="316" t="str">
        <f t="shared" ca="1" si="82"/>
        <v/>
      </c>
      <c r="AC134" s="310" t="e">
        <f t="shared" ca="1" si="83"/>
        <v>#N/A</v>
      </c>
      <c r="AD134" s="323" t="e">
        <f t="shared" ca="1" si="84"/>
        <v>#N/A</v>
      </c>
      <c r="AE134" s="324">
        <f t="shared" ca="1" si="63"/>
        <v>218.59884934246691</v>
      </c>
      <c r="AG134" s="306">
        <f t="shared" ca="1" si="85"/>
        <v>77.431068541605754</v>
      </c>
      <c r="AH134" s="304">
        <f t="shared" ca="1" si="86"/>
        <v>87.068260573668269</v>
      </c>
    </row>
    <row r="135" spans="1:34" x14ac:dyDescent="0.2">
      <c r="A135" s="347">
        <f t="shared" ca="1" si="64"/>
        <v>0.01</v>
      </c>
      <c r="B135" s="304">
        <f t="shared" ca="1" si="65"/>
        <v>1.3100000000000009</v>
      </c>
      <c r="D135" s="306">
        <f t="shared" ca="1" si="66"/>
        <v>16.187315266341422</v>
      </c>
      <c r="E135" s="307">
        <f t="shared" ca="1" si="67"/>
        <v>75.250790343725399</v>
      </c>
      <c r="F135" s="304">
        <f t="shared" ca="1" si="68"/>
        <v>76.972141862411789</v>
      </c>
      <c r="G135" s="306">
        <f t="shared" ca="1" si="69"/>
        <v>43.838396835755894</v>
      </c>
      <c r="H135" s="307">
        <f t="shared" ca="1" si="70"/>
        <v>230.2630575419735</v>
      </c>
      <c r="I135" s="304">
        <f t="shared" ca="1" si="71"/>
        <v>234.39897761233391</v>
      </c>
      <c r="J135" s="306">
        <f t="shared" ca="1" si="72"/>
        <v>40.851826128360806</v>
      </c>
      <c r="K135" s="307">
        <f t="shared" ca="1" si="73"/>
        <v>220.89771737836946</v>
      </c>
      <c r="L135" s="304">
        <f t="shared" ca="1" si="58"/>
        <v>224.64343578434651</v>
      </c>
      <c r="M135" s="306">
        <f t="shared" ca="1" si="74"/>
        <v>1.3826638072195769</v>
      </c>
      <c r="N135" s="304">
        <f t="shared" ca="1" si="75"/>
        <v>79.220800639171841</v>
      </c>
      <c r="P135" s="310">
        <f t="shared" ca="1" si="76"/>
        <v>4</v>
      </c>
      <c r="Q135" s="304">
        <f t="shared" ca="1" si="77"/>
        <v>690.19999999999982</v>
      </c>
      <c r="R135" s="306">
        <f t="shared" ca="1" si="78"/>
        <v>0.34637922239441876</v>
      </c>
      <c r="S135" s="307">
        <f t="shared" ca="1" si="79"/>
        <v>5.5199049267138562</v>
      </c>
      <c r="T135" s="304">
        <f t="shared" ca="1" si="59"/>
        <v>54.150267331062935</v>
      </c>
      <c r="U135" s="311">
        <f t="shared" ca="1" si="60"/>
        <v>0</v>
      </c>
      <c r="V135" s="306">
        <f t="shared" ca="1" si="61"/>
        <v>1.1982356389344733</v>
      </c>
      <c r="W135" s="304">
        <f t="shared" ca="1" si="62"/>
        <v>213.59745692090269</v>
      </c>
      <c r="Y135" s="314" t="str">
        <f t="shared" ca="1" si="80"/>
        <v/>
      </c>
      <c r="Z135" s="315" t="str">
        <f t="shared" ca="1" si="81"/>
        <v/>
      </c>
      <c r="AA135" s="316" t="str">
        <f t="shared" ca="1" si="82"/>
        <v/>
      </c>
      <c r="AC135" s="310" t="e">
        <f t="shared" ca="1" si="83"/>
        <v>#N/A</v>
      </c>
      <c r="AD135" s="323" t="e">
        <f t="shared" ca="1" si="84"/>
        <v>#N/A</v>
      </c>
      <c r="AE135" s="324">
        <f t="shared" ca="1" si="63"/>
        <v>220.89771737836946</v>
      </c>
      <c r="AG135" s="306">
        <f t="shared" ca="1" si="85"/>
        <v>76.95029057830952</v>
      </c>
      <c r="AH135" s="304">
        <f t="shared" ca="1" si="86"/>
        <v>86.587338736279094</v>
      </c>
    </row>
    <row r="136" spans="1:34" x14ac:dyDescent="0.2">
      <c r="A136" s="347">
        <f t="shared" ca="1" si="64"/>
        <v>0.01</v>
      </c>
      <c r="B136" s="304">
        <f t="shared" ca="1" si="65"/>
        <v>1.320000000000001</v>
      </c>
      <c r="D136" s="306">
        <f t="shared" ca="1" si="66"/>
        <v>16.104055737124789</v>
      </c>
      <c r="E136" s="307">
        <f t="shared" ca="1" si="67"/>
        <v>74.777242703004561</v>
      </c>
      <c r="F136" s="304">
        <f t="shared" ca="1" si="68"/>
        <v>76.491676916174811</v>
      </c>
      <c r="G136" s="306">
        <f t="shared" ca="1" si="69"/>
        <v>43.999437393127145</v>
      </c>
      <c r="H136" s="307">
        <f t="shared" ca="1" si="70"/>
        <v>231.01082996900354</v>
      </c>
      <c r="I136" s="304">
        <f t="shared" ca="1" si="71"/>
        <v>235.16367503056159</v>
      </c>
      <c r="J136" s="306">
        <f t="shared" ca="1" si="72"/>
        <v>41.291015299505219</v>
      </c>
      <c r="K136" s="307">
        <f t="shared" ca="1" si="73"/>
        <v>223.20408681592434</v>
      </c>
      <c r="L136" s="304">
        <f t="shared" ca="1" si="58"/>
        <v>226.99121638467571</v>
      </c>
      <c r="M136" s="306">
        <f t="shared" ca="1" si="74"/>
        <v>1.3825857886973585</v>
      </c>
      <c r="N136" s="304">
        <f t="shared" ca="1" si="75"/>
        <v>79.21633050712488</v>
      </c>
      <c r="P136" s="310">
        <f t="shared" ca="1" si="76"/>
        <v>4</v>
      </c>
      <c r="Q136" s="304">
        <f t="shared" ca="1" si="77"/>
        <v>688.5999999999998</v>
      </c>
      <c r="R136" s="306">
        <f t="shared" ca="1" si="78"/>
        <v>0.34557625694117178</v>
      </c>
      <c r="S136" s="307">
        <f t="shared" ca="1" si="79"/>
        <v>5.5164491641444444</v>
      </c>
      <c r="T136" s="304">
        <f t="shared" ca="1" si="59"/>
        <v>54.116366300256999</v>
      </c>
      <c r="U136" s="311">
        <f t="shared" ca="1" si="60"/>
        <v>0</v>
      </c>
      <c r="V136" s="306">
        <f t="shared" ca="1" si="61"/>
        <v>1.1979592793332132</v>
      </c>
      <c r="W136" s="304">
        <f t="shared" ca="1" si="62"/>
        <v>214.94381454838739</v>
      </c>
      <c r="Y136" s="314" t="str">
        <f t="shared" ca="1" si="80"/>
        <v/>
      </c>
      <c r="Z136" s="315" t="str">
        <f t="shared" ca="1" si="81"/>
        <v/>
      </c>
      <c r="AA136" s="316" t="str">
        <f t="shared" ca="1" si="82"/>
        <v/>
      </c>
      <c r="AC136" s="310" t="e">
        <f t="shared" ca="1" si="83"/>
        <v>#N/A</v>
      </c>
      <c r="AD136" s="323" t="e">
        <f t="shared" ca="1" si="84"/>
        <v>#N/A</v>
      </c>
      <c r="AE136" s="324">
        <f t="shared" ca="1" si="63"/>
        <v>223.20408681592434</v>
      </c>
      <c r="AG136" s="306">
        <f t="shared" ca="1" si="85"/>
        <v>76.469670252000697</v>
      </c>
      <c r="AH136" s="304">
        <f t="shared" ca="1" si="86"/>
        <v>86.106574889966566</v>
      </c>
    </row>
    <row r="137" spans="1:34" x14ac:dyDescent="0.2">
      <c r="A137" s="347">
        <f t="shared" ca="1" si="64"/>
        <v>0.01</v>
      </c>
      <c r="B137" s="304">
        <f t="shared" ca="1" si="65"/>
        <v>1.330000000000001</v>
      </c>
      <c r="D137" s="306">
        <f t="shared" ca="1" si="66"/>
        <v>16.020736307884299</v>
      </c>
      <c r="E137" s="307">
        <f t="shared" ca="1" si="67"/>
        <v>74.303884414735847</v>
      </c>
      <c r="F137" s="304">
        <f t="shared" ca="1" si="68"/>
        <v>76.011388824078111</v>
      </c>
      <c r="G137" s="306">
        <f t="shared" ca="1" si="69"/>
        <v>44.159644756205985</v>
      </c>
      <c r="H137" s="307">
        <f t="shared" ca="1" si="70"/>
        <v>231.75386881315089</v>
      </c>
      <c r="I137" s="304">
        <f t="shared" ca="1" si="71"/>
        <v>235.92356799365652</v>
      </c>
      <c r="J137" s="306">
        <f t="shared" ca="1" si="72"/>
        <v>41.731810710251885</v>
      </c>
      <c r="K137" s="307">
        <f t="shared" ca="1" si="73"/>
        <v>225.51791030983512</v>
      </c>
      <c r="L137" s="304">
        <f t="shared" ca="1" si="58"/>
        <v>229.34661954271556</v>
      </c>
      <c r="M137" s="306">
        <f t="shared" ca="1" si="74"/>
        <v>1.382507989598794</v>
      </c>
      <c r="N137" s="304">
        <f t="shared" ca="1" si="75"/>
        <v>79.211872947127205</v>
      </c>
      <c r="P137" s="310">
        <f t="shared" ca="1" si="76"/>
        <v>4</v>
      </c>
      <c r="Q137" s="304">
        <f t="shared" ca="1" si="77"/>
        <v>686.99999999999977</v>
      </c>
      <c r="R137" s="306">
        <f t="shared" ca="1" si="78"/>
        <v>0.34477329148792474</v>
      </c>
      <c r="S137" s="307">
        <f t="shared" ca="1" si="79"/>
        <v>5.513001431229565</v>
      </c>
      <c r="T137" s="304">
        <f t="shared" ca="1" si="59"/>
        <v>54.082544040362038</v>
      </c>
      <c r="U137" s="311">
        <f t="shared" ca="1" si="60"/>
        <v>0</v>
      </c>
      <c r="V137" s="306">
        <f t="shared" ca="1" si="61"/>
        <v>1.1976820898871792</v>
      </c>
      <c r="W137" s="304">
        <f t="shared" ca="1" si="62"/>
        <v>216.28511382416303</v>
      </c>
      <c r="Y137" s="314" t="str">
        <f t="shared" ca="1" si="80"/>
        <v/>
      </c>
      <c r="Z137" s="315" t="str">
        <f t="shared" ca="1" si="81"/>
        <v/>
      </c>
      <c r="AA137" s="316" t="str">
        <f t="shared" ca="1" si="82"/>
        <v/>
      </c>
      <c r="AC137" s="310" t="e">
        <f t="shared" ca="1" si="83"/>
        <v>#N/A</v>
      </c>
      <c r="AD137" s="323" t="e">
        <f t="shared" ca="1" si="84"/>
        <v>#N/A</v>
      </c>
      <c r="AE137" s="324">
        <f t="shared" ca="1" si="63"/>
        <v>225.51791030983512</v>
      </c>
      <c r="AG137" s="306">
        <f t="shared" ca="1" si="85"/>
        <v>75.989224910765813</v>
      </c>
      <c r="AH137" s="304">
        <f t="shared" ca="1" si="86"/>
        <v>85.625986377864891</v>
      </c>
    </row>
    <row r="138" spans="1:34" x14ac:dyDescent="0.2">
      <c r="A138" s="347">
        <f t="shared" ca="1" si="64"/>
        <v>0.01</v>
      </c>
      <c r="B138" s="304">
        <f t="shared" ca="1" si="65"/>
        <v>1.340000000000001</v>
      </c>
      <c r="D138" s="306">
        <f t="shared" ca="1" si="66"/>
        <v>15.937360801290481</v>
      </c>
      <c r="E138" s="307">
        <f t="shared" ca="1" si="67"/>
        <v>73.830732274030694</v>
      </c>
      <c r="F138" s="304">
        <f t="shared" ca="1" si="68"/>
        <v>75.531294821617536</v>
      </c>
      <c r="G138" s="306">
        <f t="shared" ca="1" si="69"/>
        <v>44.319018364218891</v>
      </c>
      <c r="H138" s="307">
        <f t="shared" ca="1" si="70"/>
        <v>232.49217613589119</v>
      </c>
      <c r="I138" s="304">
        <f t="shared" ca="1" si="71"/>
        <v>236.6786584235474</v>
      </c>
      <c r="J138" s="306">
        <f t="shared" ca="1" si="72"/>
        <v>42.17420402585401</v>
      </c>
      <c r="K138" s="307">
        <f t="shared" ca="1" si="73"/>
        <v>227.83914053458034</v>
      </c>
      <c r="L138" s="304">
        <f t="shared" ca="1" si="58"/>
        <v>231.70959722193342</v>
      </c>
      <c r="M138" s="306">
        <f t="shared" ca="1" si="74"/>
        <v>1.3824304070305125</v>
      </c>
      <c r="N138" s="304">
        <f t="shared" ca="1" si="75"/>
        <v>79.207427793400896</v>
      </c>
      <c r="P138" s="310">
        <f t="shared" ca="1" si="76"/>
        <v>4</v>
      </c>
      <c r="Q138" s="304">
        <f t="shared" ca="1" si="77"/>
        <v>685.39999999999986</v>
      </c>
      <c r="R138" s="306">
        <f t="shared" ca="1" si="78"/>
        <v>0.34397032603467781</v>
      </c>
      <c r="S138" s="307">
        <f t="shared" ca="1" si="79"/>
        <v>5.5095617279692179</v>
      </c>
      <c r="T138" s="304">
        <f t="shared" ca="1" si="59"/>
        <v>54.048800551378029</v>
      </c>
      <c r="U138" s="311">
        <f t="shared" ca="1" si="60"/>
        <v>0</v>
      </c>
      <c r="V138" s="306">
        <f t="shared" ca="1" si="61"/>
        <v>1.1974040768550938</v>
      </c>
      <c r="W138" s="304">
        <f t="shared" ca="1" si="62"/>
        <v>217.62127438930563</v>
      </c>
      <c r="Y138" s="314" t="str">
        <f t="shared" ca="1" si="80"/>
        <v/>
      </c>
      <c r="Z138" s="315" t="str">
        <f t="shared" ca="1" si="81"/>
        <v/>
      </c>
      <c r="AA138" s="316" t="str">
        <f t="shared" ca="1" si="82"/>
        <v/>
      </c>
      <c r="AC138" s="310" t="e">
        <f t="shared" ca="1" si="83"/>
        <v>#N/A</v>
      </c>
      <c r="AD138" s="323" t="e">
        <f t="shared" ca="1" si="84"/>
        <v>#N/A</v>
      </c>
      <c r="AE138" s="324">
        <f t="shared" ca="1" si="63"/>
        <v>227.83914053458034</v>
      </c>
      <c r="AG138" s="306">
        <f t="shared" ca="1" si="85"/>
        <v>75.508971759998289</v>
      </c>
      <c r="AH138" s="304">
        <f t="shared" ca="1" si="86"/>
        <v>85.145590400481638</v>
      </c>
    </row>
    <row r="139" spans="1:34" x14ac:dyDescent="0.2">
      <c r="A139" s="347">
        <f t="shared" ca="1" si="64"/>
        <v>0.01</v>
      </c>
      <c r="B139" s="304">
        <f t="shared" ca="1" si="65"/>
        <v>1.350000000000001</v>
      </c>
      <c r="D139" s="306">
        <f t="shared" ca="1" si="66"/>
        <v>15.853933009164308</v>
      </c>
      <c r="E139" s="307">
        <f t="shared" ca="1" si="67"/>
        <v>73.357802935569651</v>
      </c>
      <c r="F139" s="304">
        <f t="shared" ca="1" si="68"/>
        <v>75.051412001327066</v>
      </c>
      <c r="G139" s="306">
        <f t="shared" ca="1" si="69"/>
        <v>44.477557694310534</v>
      </c>
      <c r="H139" s="307">
        <f t="shared" ca="1" si="70"/>
        <v>233.22575416524688</v>
      </c>
      <c r="I139" s="304">
        <f t="shared" ca="1" si="71"/>
        <v>237.42894841278073</v>
      </c>
      <c r="J139" s="306">
        <f t="shared" ca="1" si="72"/>
        <v>42.618186906146654</v>
      </c>
      <c r="K139" s="307">
        <f t="shared" ca="1" si="73"/>
        <v>230.16773018608603</v>
      </c>
      <c r="L139" s="304">
        <f t="shared" ca="1" si="58"/>
        <v>234.0801014058695</v>
      </c>
      <c r="M139" s="306">
        <f t="shared" ca="1" si="74"/>
        <v>1.3823530381393909</v>
      </c>
      <c r="N139" s="304">
        <f t="shared" ca="1" si="75"/>
        <v>79.202994882474016</v>
      </c>
      <c r="P139" s="310">
        <f t="shared" ca="1" si="76"/>
        <v>4</v>
      </c>
      <c r="Q139" s="304">
        <f t="shared" ca="1" si="77"/>
        <v>683.79999999999984</v>
      </c>
      <c r="R139" s="306">
        <f t="shared" ca="1" si="78"/>
        <v>0.34316736058143082</v>
      </c>
      <c r="S139" s="307">
        <f t="shared" ca="1" si="79"/>
        <v>5.5061300543634033</v>
      </c>
      <c r="T139" s="304">
        <f t="shared" ca="1" si="59"/>
        <v>54.015135833304988</v>
      </c>
      <c r="U139" s="311">
        <f t="shared" ca="1" si="60"/>
        <v>0</v>
      </c>
      <c r="V139" s="306">
        <f t="shared" ca="1" si="61"/>
        <v>1.1971252464894553</v>
      </c>
      <c r="W139" s="304">
        <f t="shared" ca="1" si="62"/>
        <v>218.95221690376596</v>
      </c>
      <c r="Y139" s="314" t="str">
        <f t="shared" ca="1" si="80"/>
        <v/>
      </c>
      <c r="Z139" s="315" t="str">
        <f t="shared" ca="1" si="81"/>
        <v/>
      </c>
      <c r="AA139" s="316" t="str">
        <f t="shared" ca="1" si="82"/>
        <v/>
      </c>
      <c r="AC139" s="310" t="e">
        <f t="shared" ca="1" si="83"/>
        <v>#N/A</v>
      </c>
      <c r="AD139" s="323" t="e">
        <f t="shared" ca="1" si="84"/>
        <v>#N/A</v>
      </c>
      <c r="AE139" s="324">
        <f t="shared" ca="1" si="63"/>
        <v>230.16773018608603</v>
      </c>
      <c r="AG139" s="306">
        <f t="shared" ca="1" si="85"/>
        <v>75.028927861499028</v>
      </c>
      <c r="AH139" s="304">
        <f t="shared" ca="1" si="86"/>
        <v>84.66540401479709</v>
      </c>
    </row>
    <row r="140" spans="1:34" x14ac:dyDescent="0.2">
      <c r="A140" s="347">
        <f t="shared" ca="1" si="64"/>
        <v>0.01</v>
      </c>
      <c r="B140" s="304">
        <f t="shared" ca="1" si="65"/>
        <v>1.360000000000001</v>
      </c>
      <c r="D140" s="306">
        <f t="shared" ca="1" si="66"/>
        <v>15.770456692393601</v>
      </c>
      <c r="E140" s="307">
        <f t="shared" ca="1" si="67"/>
        <v>72.88511291273872</v>
      </c>
      <c r="F140" s="304">
        <f t="shared" ca="1" si="68"/>
        <v>74.571757311929659</v>
      </c>
      <c r="G140" s="306">
        <f t="shared" ca="1" si="69"/>
        <v>44.635262261234466</v>
      </c>
      <c r="H140" s="307">
        <f t="shared" ca="1" si="70"/>
        <v>233.95460529437426</v>
      </c>
      <c r="I140" s="304">
        <f t="shared" ca="1" si="71"/>
        <v>238.17444022307606</v>
      </c>
      <c r="J140" s="306">
        <f t="shared" ca="1" si="72"/>
        <v>43.063751005924381</v>
      </c>
      <c r="K140" s="307">
        <f t="shared" ca="1" si="73"/>
        <v>232.50363198338414</v>
      </c>
      <c r="L140" s="304">
        <f t="shared" ca="1" si="58"/>
        <v>236.45808409983613</v>
      </c>
      <c r="M140" s="306">
        <f t="shared" ca="1" si="74"/>
        <v>1.3822758801117654</v>
      </c>
      <c r="N140" s="304">
        <f t="shared" ca="1" si="75"/>
        <v>79.19857405313553</v>
      </c>
      <c r="P140" s="310">
        <f t="shared" ca="1" si="76"/>
        <v>4</v>
      </c>
      <c r="Q140" s="304">
        <f t="shared" ca="1" si="77"/>
        <v>682.19999999999982</v>
      </c>
      <c r="R140" s="306">
        <f t="shared" ca="1" si="78"/>
        <v>0.34236439512818384</v>
      </c>
      <c r="S140" s="307">
        <f t="shared" ca="1" si="79"/>
        <v>5.5027064104121211</v>
      </c>
      <c r="T140" s="304">
        <f t="shared" ca="1" si="59"/>
        <v>53.981549886142908</v>
      </c>
      <c r="U140" s="311">
        <f t="shared" ca="1" si="60"/>
        <v>0</v>
      </c>
      <c r="V140" s="306">
        <f t="shared" ca="1" si="61"/>
        <v>1.1968456050363032</v>
      </c>
      <c r="W140" s="304">
        <f t="shared" ca="1" si="62"/>
        <v>220.27786304712211</v>
      </c>
      <c r="Y140" s="314" t="str">
        <f t="shared" ca="1" si="80"/>
        <v/>
      </c>
      <c r="Z140" s="315" t="str">
        <f t="shared" ca="1" si="81"/>
        <v/>
      </c>
      <c r="AA140" s="316" t="str">
        <f t="shared" ca="1" si="82"/>
        <v/>
      </c>
      <c r="AC140" s="310" t="e">
        <f t="shared" ca="1" si="83"/>
        <v>#N/A</v>
      </c>
      <c r="AD140" s="323" t="e">
        <f t="shared" ca="1" si="84"/>
        <v>#N/A</v>
      </c>
      <c r="AE140" s="324">
        <f t="shared" ca="1" si="63"/>
        <v>232.50363198338414</v>
      </c>
      <c r="AG140" s="306">
        <f t="shared" ca="1" si="85"/>
        <v>74.549110132610238</v>
      </c>
      <c r="AH140" s="304">
        <f t="shared" ca="1" si="86"/>
        <v>84.185444133396771</v>
      </c>
    </row>
    <row r="141" spans="1:34" x14ac:dyDescent="0.2">
      <c r="A141" s="347">
        <f t="shared" ca="1" si="64"/>
        <v>0.01</v>
      </c>
      <c r="B141" s="304">
        <f t="shared" ca="1" si="65"/>
        <v>1.370000000000001</v>
      </c>
      <c r="D141" s="306">
        <f t="shared" ca="1" si="66"/>
        <v>15.686935580852358</v>
      </c>
      <c r="E141" s="307">
        <f t="shared" ca="1" si="67"/>
        <v>72.412678576798598</v>
      </c>
      <c r="F141" s="304">
        <f t="shared" ca="1" si="68"/>
        <v>74.092347557521464</v>
      </c>
      <c r="G141" s="306">
        <f t="shared" ca="1" si="69"/>
        <v>44.79213161704299</v>
      </c>
      <c r="H141" s="307">
        <f t="shared" ca="1" si="70"/>
        <v>234.67873208014225</v>
      </c>
      <c r="I141" s="304">
        <f t="shared" ca="1" si="71"/>
        <v>238.91513628387318</v>
      </c>
      <c r="J141" s="306">
        <f t="shared" ca="1" si="72"/>
        <v>43.510887975315768</v>
      </c>
      <c r="K141" s="307">
        <f t="shared" ca="1" si="73"/>
        <v>234.84679867025673</v>
      </c>
      <c r="L141" s="304">
        <f t="shared" ca="1" si="58"/>
        <v>238.84349733260183</v>
      </c>
      <c r="M141" s="306">
        <f t="shared" ca="1" si="74"/>
        <v>1.3821989301726578</v>
      </c>
      <c r="N141" s="304">
        <f t="shared" ca="1" si="75"/>
        <v>79.194165146390873</v>
      </c>
      <c r="P141" s="310">
        <f t="shared" ca="1" si="76"/>
        <v>4</v>
      </c>
      <c r="Q141" s="304">
        <f t="shared" ca="1" si="77"/>
        <v>680.5999999999998</v>
      </c>
      <c r="R141" s="306">
        <f t="shared" ca="1" si="78"/>
        <v>0.34156142967493686</v>
      </c>
      <c r="S141" s="307">
        <f t="shared" ca="1" si="79"/>
        <v>5.4992907961153721</v>
      </c>
      <c r="T141" s="304">
        <f t="shared" ca="1" si="59"/>
        <v>53.948042709891801</v>
      </c>
      <c r="U141" s="311">
        <f t="shared" ca="1" si="60"/>
        <v>0</v>
      </c>
      <c r="V141" s="306">
        <f t="shared" ca="1" si="61"/>
        <v>1.196565158734983</v>
      </c>
      <c r="W141" s="304">
        <f t="shared" ca="1" si="62"/>
        <v>221.59813551915093</v>
      </c>
      <c r="Y141" s="314" t="str">
        <f t="shared" ca="1" si="80"/>
        <v/>
      </c>
      <c r="Z141" s="315" t="str">
        <f t="shared" ca="1" si="81"/>
        <v/>
      </c>
      <c r="AA141" s="316" t="str">
        <f t="shared" ca="1" si="82"/>
        <v/>
      </c>
      <c r="AC141" s="310" t="e">
        <f t="shared" ca="1" si="83"/>
        <v>#N/A</v>
      </c>
      <c r="AD141" s="323" t="e">
        <f t="shared" ca="1" si="84"/>
        <v>#N/A</v>
      </c>
      <c r="AE141" s="324">
        <f t="shared" ca="1" si="63"/>
        <v>234.84679867025673</v>
      </c>
      <c r="AG141" s="306">
        <f t="shared" ca="1" si="85"/>
        <v>74.069535345382164</v>
      </c>
      <c r="AH141" s="304">
        <f t="shared" ca="1" si="86"/>
        <v>83.705727523636924</v>
      </c>
    </row>
    <row r="142" spans="1:34" x14ac:dyDescent="0.2">
      <c r="A142" s="347">
        <f t="shared" ca="1" si="64"/>
        <v>0.01</v>
      </c>
      <c r="B142" s="304">
        <f t="shared" ca="1" si="65"/>
        <v>1.380000000000001</v>
      </c>
      <c r="D142" s="306">
        <f t="shared" ca="1" si="66"/>
        <v>15.6033733733237</v>
      </c>
      <c r="E142" s="307">
        <f t="shared" ca="1" si="67"/>
        <v>71.940516156087256</v>
      </c>
      <c r="F142" s="304">
        <f t="shared" ca="1" si="68"/>
        <v>73.613199396790236</v>
      </c>
      <c r="G142" s="306">
        <f t="shared" ca="1" si="69"/>
        <v>44.948165350776229</v>
      </c>
      <c r="H142" s="307">
        <f t="shared" ca="1" si="70"/>
        <v>235.39813724170313</v>
      </c>
      <c r="I142" s="304">
        <f t="shared" ca="1" si="71"/>
        <v>239.65103919087107</v>
      </c>
      <c r="J142" s="306">
        <f t="shared" ca="1" si="72"/>
        <v>43.959589460154866</v>
      </c>
      <c r="K142" s="307">
        <f t="shared" ca="1" si="73"/>
        <v>237.19718301686595</v>
      </c>
      <c r="L142" s="304">
        <f t="shared" ca="1" si="58"/>
        <v>241.23629315806102</v>
      </c>
      <c r="M142" s="306">
        <f t="shared" ca="1" si="74"/>
        <v>1.3821221855850252</v>
      </c>
      <c r="N142" s="304">
        <f t="shared" ca="1" si="75"/>
        <v>79.189768005419054</v>
      </c>
      <c r="P142" s="310">
        <f t="shared" ca="1" si="76"/>
        <v>4</v>
      </c>
      <c r="Q142" s="304">
        <f t="shared" ca="1" si="77"/>
        <v>678.99999999999977</v>
      </c>
      <c r="R142" s="306">
        <f t="shared" ca="1" si="78"/>
        <v>0.34075846422168982</v>
      </c>
      <c r="S142" s="307">
        <f t="shared" ca="1" si="79"/>
        <v>5.4958832114731555</v>
      </c>
      <c r="T142" s="304">
        <f t="shared" ca="1" si="59"/>
        <v>53.914614304551655</v>
      </c>
      <c r="U142" s="311">
        <f t="shared" ca="1" si="60"/>
        <v>0</v>
      </c>
      <c r="V142" s="306">
        <f t="shared" ca="1" si="61"/>
        <v>1.1962839138179169</v>
      </c>
      <c r="W142" s="304">
        <f t="shared" ca="1" si="62"/>
        <v>222.91295804022096</v>
      </c>
      <c r="Y142" s="314" t="str">
        <f t="shared" ca="1" si="80"/>
        <v/>
      </c>
      <c r="Z142" s="315" t="str">
        <f t="shared" ca="1" si="81"/>
        <v/>
      </c>
      <c r="AA142" s="316" t="str">
        <f t="shared" ca="1" si="82"/>
        <v/>
      </c>
      <c r="AC142" s="310" t="e">
        <f t="shared" ca="1" si="83"/>
        <v>#N/A</v>
      </c>
      <c r="AD142" s="323" t="e">
        <f t="shared" ca="1" si="84"/>
        <v>#N/A</v>
      </c>
      <c r="AE142" s="324">
        <f t="shared" ca="1" si="63"/>
        <v>237.19718301686595</v>
      </c>
      <c r="AG142" s="306">
        <f t="shared" ca="1" si="85"/>
        <v>73.590220125773172</v>
      </c>
      <c r="AH142" s="304">
        <f t="shared" ca="1" si="86"/>
        <v>83.226270806843374</v>
      </c>
    </row>
    <row r="143" spans="1:34" x14ac:dyDescent="0.2">
      <c r="A143" s="347">
        <f t="shared" ca="1" si="64"/>
        <v>0.01</v>
      </c>
      <c r="B143" s="304">
        <f t="shared" ca="1" si="65"/>
        <v>1.390000000000001</v>
      </c>
      <c r="D143" s="306">
        <f t="shared" ca="1" si="66"/>
        <v>15.519773737425769</v>
      </c>
      <c r="E143" s="307">
        <f t="shared" ca="1" si="67"/>
        <v>71.468641735254693</v>
      </c>
      <c r="F143" s="304">
        <f t="shared" ca="1" si="68"/>
        <v>73.134329342266341</v>
      </c>
      <c r="G143" s="306">
        <f t="shared" ca="1" si="69"/>
        <v>45.103363088150488</v>
      </c>
      <c r="H143" s="307">
        <f t="shared" ca="1" si="70"/>
        <v>236.11282365905566</v>
      </c>
      <c r="I143" s="304">
        <f t="shared" ca="1" si="71"/>
        <v>240.3821517045595</v>
      </c>
      <c r="J143" s="306">
        <f t="shared" ca="1" si="72"/>
        <v>44.409847102349502</v>
      </c>
      <c r="K143" s="307">
        <f t="shared" ca="1" si="73"/>
        <v>239.55473782136974</v>
      </c>
      <c r="L143" s="304">
        <f t="shared" ca="1" si="58"/>
        <v>243.63642365688932</v>
      </c>
      <c r="M143" s="306">
        <f t="shared" ca="1" si="74"/>
        <v>1.3820456436490245</v>
      </c>
      <c r="N143" s="304">
        <f t="shared" ca="1" si="75"/>
        <v>79.185382475530446</v>
      </c>
      <c r="P143" s="310">
        <f t="shared" ca="1" si="76"/>
        <v>4</v>
      </c>
      <c r="Q143" s="304">
        <f t="shared" ca="1" si="77"/>
        <v>677.39999999999986</v>
      </c>
      <c r="R143" s="306">
        <f t="shared" ca="1" si="78"/>
        <v>0.33995549876844289</v>
      </c>
      <c r="S143" s="307">
        <f t="shared" ca="1" si="79"/>
        <v>5.4924836564854713</v>
      </c>
      <c r="T143" s="304">
        <f t="shared" ca="1" si="59"/>
        <v>53.881264670122476</v>
      </c>
      <c r="U143" s="311">
        <f t="shared" ca="1" si="60"/>
        <v>0</v>
      </c>
      <c r="V143" s="306">
        <f t="shared" ca="1" si="61"/>
        <v>1.1960018765103757</v>
      </c>
      <c r="W143" s="304">
        <f t="shared" ca="1" si="62"/>
        <v>224.22225535150878</v>
      </c>
      <c r="Y143" s="314" t="str">
        <f t="shared" ca="1" si="80"/>
        <v/>
      </c>
      <c r="Z143" s="315" t="str">
        <f t="shared" ca="1" si="81"/>
        <v/>
      </c>
      <c r="AA143" s="316" t="str">
        <f t="shared" ca="1" si="82"/>
        <v/>
      </c>
      <c r="AC143" s="310" t="e">
        <f t="shared" ca="1" si="83"/>
        <v>#N/A</v>
      </c>
      <c r="AD143" s="323" t="e">
        <f t="shared" ca="1" si="84"/>
        <v>#N/A</v>
      </c>
      <c r="AE143" s="324">
        <f t="shared" ca="1" si="63"/>
        <v>239.55473782136974</v>
      </c>
      <c r="AG143" s="306">
        <f t="shared" ca="1" si="85"/>
        <v>73.111180952882222</v>
      </c>
      <c r="AH143" s="304">
        <f t="shared" ca="1" si="86"/>
        <v>82.747090457542839</v>
      </c>
    </row>
    <row r="144" spans="1:34" x14ac:dyDescent="0.2">
      <c r="A144" s="347">
        <f t="shared" ca="1" si="64"/>
        <v>0.01</v>
      </c>
      <c r="B144" s="304">
        <f t="shared" ca="1" si="65"/>
        <v>1.400000000000001</v>
      </c>
      <c r="D144" s="306">
        <f t="shared" ca="1" si="66"/>
        <v>15.436140309541152</v>
      </c>
      <c r="E144" s="307">
        <f t="shared" ca="1" si="67"/>
        <v>70.997071254530383</v>
      </c>
      <c r="F144" s="304">
        <f t="shared" ca="1" si="68"/>
        <v>72.655753759607407</v>
      </c>
      <c r="G144" s="306">
        <f t="shared" ca="1" si="69"/>
        <v>45.257724491245902</v>
      </c>
      <c r="H144" s="307">
        <f t="shared" ca="1" si="70"/>
        <v>236.82279437160096</v>
      </c>
      <c r="I144" s="304">
        <f t="shared" ca="1" si="71"/>
        <v>241.10847674874293</v>
      </c>
      <c r="J144" s="306">
        <f t="shared" ca="1" si="72"/>
        <v>44.861652540246482</v>
      </c>
      <c r="K144" s="307">
        <f t="shared" ca="1" si="73"/>
        <v>241.91941591152303</v>
      </c>
      <c r="L144" s="304">
        <f t="shared" ca="1" si="58"/>
        <v>246.04384093818376</v>
      </c>
      <c r="M144" s="306">
        <f t="shared" ca="1" si="74"/>
        <v>1.3819693017012944</v>
      </c>
      <c r="N144" s="304">
        <f t="shared" ca="1" si="75"/>
        <v>79.181008404125706</v>
      </c>
      <c r="P144" s="310">
        <f t="shared" ca="1" si="76"/>
        <v>4</v>
      </c>
      <c r="Q144" s="304">
        <f t="shared" ca="1" si="77"/>
        <v>675.79999999999984</v>
      </c>
      <c r="R144" s="306">
        <f t="shared" ca="1" si="78"/>
        <v>0.3391525333151959</v>
      </c>
      <c r="S144" s="307">
        <f t="shared" ca="1" si="79"/>
        <v>5.4890921311523195</v>
      </c>
      <c r="T144" s="304">
        <f t="shared" ca="1" si="59"/>
        <v>53.847993806604258</v>
      </c>
      <c r="U144" s="311">
        <f t="shared" ca="1" si="60"/>
        <v>0</v>
      </c>
      <c r="V144" s="306">
        <f t="shared" ca="1" si="61"/>
        <v>1.1957190530302517</v>
      </c>
      <c r="W144" s="304">
        <f t="shared" ca="1" si="62"/>
        <v>225.52595321503946</v>
      </c>
      <c r="Y144" s="314" t="str">
        <f t="shared" ca="1" si="80"/>
        <v/>
      </c>
      <c r="Z144" s="315" t="str">
        <f t="shared" ca="1" si="81"/>
        <v/>
      </c>
      <c r="AA144" s="316" t="str">
        <f t="shared" ca="1" si="82"/>
        <v/>
      </c>
      <c r="AC144" s="310" t="e">
        <f t="shared" ca="1" si="83"/>
        <v>#N/A</v>
      </c>
      <c r="AD144" s="323" t="e">
        <f t="shared" ca="1" si="84"/>
        <v>#N/A</v>
      </c>
      <c r="AE144" s="324">
        <f t="shared" ca="1" si="63"/>
        <v>241.91941591152303</v>
      </c>
      <c r="AG144" s="306">
        <f t="shared" ca="1" si="85"/>
        <v>72.63243415821394</v>
      </c>
      <c r="AH144" s="304">
        <f t="shared" ca="1" si="86"/>
        <v>82.268202802726833</v>
      </c>
    </row>
    <row r="145" spans="1:34" x14ac:dyDescent="0.2">
      <c r="A145" s="347">
        <f t="shared" ca="1" si="64"/>
        <v>0.01</v>
      </c>
      <c r="B145" s="304">
        <f t="shared" ca="1" si="65"/>
        <v>1.410000000000001</v>
      </c>
      <c r="D145" s="306">
        <f t="shared" ca="1" si="66"/>
        <v>15.352476694749878</v>
      </c>
      <c r="E145" s="307">
        <f t="shared" ca="1" si="67"/>
        <v>70.525820509022992</v>
      </c>
      <c r="F145" s="304">
        <f t="shared" ca="1" si="68"/>
        <v>72.17748886691588</v>
      </c>
      <c r="G145" s="306">
        <f t="shared" ca="1" si="69"/>
        <v>45.411249258193401</v>
      </c>
      <c r="H145" s="307">
        <f t="shared" ca="1" si="70"/>
        <v>237.52805257669118</v>
      </c>
      <c r="I145" s="304">
        <f t="shared" ca="1" si="71"/>
        <v>241.83001740905769</v>
      </c>
      <c r="J145" s="306">
        <f t="shared" ca="1" si="72"/>
        <v>45.314997408993676</v>
      </c>
      <c r="K145" s="307">
        <f t="shared" ca="1" si="73"/>
        <v>244.29117014626451</v>
      </c>
      <c r="L145" s="304">
        <f t="shared" ca="1" si="58"/>
        <v>248.45849714108843</v>
      </c>
      <c r="M145" s="306">
        <f t="shared" ca="1" si="74"/>
        <v>1.3818931571142568</v>
      </c>
      <c r="N145" s="304">
        <f t="shared" ca="1" si="75"/>
        <v>79.176645640655678</v>
      </c>
      <c r="P145" s="310">
        <f t="shared" ca="1" si="76"/>
        <v>4</v>
      </c>
      <c r="Q145" s="304">
        <f t="shared" ca="1" si="77"/>
        <v>674.19999999999982</v>
      </c>
      <c r="R145" s="306">
        <f t="shared" ca="1" si="78"/>
        <v>0.33834956786194892</v>
      </c>
      <c r="S145" s="307">
        <f t="shared" ca="1" si="79"/>
        <v>5.4857086354737001</v>
      </c>
      <c r="T145" s="304">
        <f t="shared" ca="1" si="59"/>
        <v>53.814801713996999</v>
      </c>
      <c r="U145" s="311">
        <f t="shared" ca="1" si="60"/>
        <v>0</v>
      </c>
      <c r="V145" s="306">
        <f t="shared" ca="1" si="61"/>
        <v>1.1954354495878345</v>
      </c>
      <c r="W145" s="304">
        <f t="shared" ca="1" si="62"/>
        <v>226.82397841355493</v>
      </c>
      <c r="Y145" s="314" t="str">
        <f t="shared" ca="1" si="80"/>
        <v/>
      </c>
      <c r="Z145" s="315" t="str">
        <f t="shared" ca="1" si="81"/>
        <v/>
      </c>
      <c r="AA145" s="316" t="str">
        <f t="shared" ca="1" si="82"/>
        <v/>
      </c>
      <c r="AC145" s="310" t="e">
        <f t="shared" ca="1" si="83"/>
        <v>#N/A</v>
      </c>
      <c r="AD145" s="323" t="e">
        <f t="shared" ca="1" si="84"/>
        <v>#N/A</v>
      </c>
      <c r="AE145" s="324">
        <f t="shared" ca="1" si="63"/>
        <v>244.29117014626451</v>
      </c>
      <c r="AG145" s="306">
        <f t="shared" ca="1" si="85"/>
        <v>72.153995924976343</v>
      </c>
      <c r="AH145" s="304">
        <f t="shared" ca="1" si="86"/>
        <v>81.789624021148285</v>
      </c>
    </row>
    <row r="146" spans="1:34" x14ac:dyDescent="0.2">
      <c r="A146" s="347">
        <f t="shared" ca="1" si="64"/>
        <v>0.01</v>
      </c>
      <c r="B146" s="304">
        <f t="shared" ca="1" si="65"/>
        <v>1.420000000000001</v>
      </c>
      <c r="D146" s="306">
        <f t="shared" ca="1" si="66"/>
        <v>15.268786466765576</v>
      </c>
      <c r="E146" s="307">
        <f t="shared" ca="1" si="67"/>
        <v>70.054905148052015</v>
      </c>
      <c r="F146" s="304">
        <f t="shared" ca="1" si="68"/>
        <v>71.699550734089314</v>
      </c>
      <c r="G146" s="306">
        <f t="shared" ca="1" si="69"/>
        <v>45.563937122861056</v>
      </c>
      <c r="H146" s="307">
        <f t="shared" ca="1" si="70"/>
        <v>238.2286016281717</v>
      </c>
      <c r="I146" s="304">
        <f t="shared" ca="1" si="71"/>
        <v>242.54677693148219</v>
      </c>
      <c r="J146" s="306">
        <f t="shared" ca="1" si="72"/>
        <v>45.769873340898947</v>
      </c>
      <c r="K146" s="307">
        <f t="shared" ca="1" si="73"/>
        <v>246.66995341728881</v>
      </c>
      <c r="L146" s="304">
        <f t="shared" ca="1" si="58"/>
        <v>250.88034443640532</v>
      </c>
      <c r="M146" s="306">
        <f t="shared" ca="1" si="74"/>
        <v>1.3818172072954311</v>
      </c>
      <c r="N146" s="304">
        <f t="shared" ca="1" si="75"/>
        <v>79.172294036582187</v>
      </c>
      <c r="P146" s="310">
        <f t="shared" ca="1" si="76"/>
        <v>4</v>
      </c>
      <c r="Q146" s="304">
        <f t="shared" ca="1" si="77"/>
        <v>672.5999999999998</v>
      </c>
      <c r="R146" s="306">
        <f t="shared" ca="1" si="78"/>
        <v>0.33754660240870188</v>
      </c>
      <c r="S146" s="307">
        <f t="shared" ca="1" si="79"/>
        <v>5.4823331694496131</v>
      </c>
      <c r="T146" s="304">
        <f t="shared" ca="1" si="59"/>
        <v>53.781688392300708</v>
      </c>
      <c r="U146" s="311">
        <f t="shared" ca="1" si="60"/>
        <v>0</v>
      </c>
      <c r="V146" s="306">
        <f t="shared" ca="1" si="61"/>
        <v>1.1951510723855925</v>
      </c>
      <c r="W146" s="304">
        <f t="shared" ca="1" si="62"/>
        <v>228.11625875021159</v>
      </c>
      <c r="Y146" s="314" t="str">
        <f t="shared" ca="1" si="80"/>
        <v/>
      </c>
      <c r="Z146" s="315" t="str">
        <f t="shared" ca="1" si="81"/>
        <v/>
      </c>
      <c r="AA146" s="316" t="str">
        <f t="shared" ca="1" si="82"/>
        <v/>
      </c>
      <c r="AC146" s="310" t="e">
        <f t="shared" ca="1" si="83"/>
        <v>#N/A</v>
      </c>
      <c r="AD146" s="323" t="e">
        <f t="shared" ca="1" si="84"/>
        <v>#N/A</v>
      </c>
      <c r="AE146" s="324">
        <f t="shared" ca="1" si="63"/>
        <v>246.66995341728881</v>
      </c>
      <c r="AG146" s="306">
        <f t="shared" ca="1" si="85"/>
        <v>71.675882287410445</v>
      </c>
      <c r="AH146" s="304">
        <f t="shared" ca="1" si="86"/>
        <v>81.311370142649977</v>
      </c>
    </row>
    <row r="147" spans="1:34" x14ac:dyDescent="0.2">
      <c r="A147" s="347">
        <f t="shared" ca="1" si="64"/>
        <v>0.01</v>
      </c>
      <c r="B147" s="304">
        <f t="shared" ca="1" si="65"/>
        <v>1.430000000000001</v>
      </c>
      <c r="D147" s="306">
        <f t="shared" ca="1" si="66"/>
        <v>15.185073167875441</v>
      </c>
      <c r="E147" s="307">
        <f t="shared" ca="1" si="67"/>
        <v>69.584340674511154</v>
      </c>
      <c r="F147" s="304">
        <f t="shared" ca="1" si="68"/>
        <v>71.22195528220324</v>
      </c>
      <c r="G147" s="306">
        <f t="shared" ca="1" si="69"/>
        <v>45.715787854539812</v>
      </c>
      <c r="H147" s="307">
        <f t="shared" ca="1" si="70"/>
        <v>238.9244450349168</v>
      </c>
      <c r="I147" s="304">
        <f t="shared" ca="1" si="71"/>
        <v>243.25875872084086</v>
      </c>
      <c r="J147" s="306">
        <f t="shared" ca="1" si="72"/>
        <v>46.226271965785948</v>
      </c>
      <c r="K147" s="307">
        <f t="shared" ca="1" si="73"/>
        <v>249.05571865060426</v>
      </c>
      <c r="L147" s="304">
        <f t="shared" ca="1" si="58"/>
        <v>253.30933502818988</v>
      </c>
      <c r="M147" s="306">
        <f t="shared" ca="1" si="74"/>
        <v>1.3817414496867682</v>
      </c>
      <c r="N147" s="304">
        <f t="shared" ca="1" si="75"/>
        <v>79.167953445339805</v>
      </c>
      <c r="P147" s="310">
        <f t="shared" ca="1" si="76"/>
        <v>4</v>
      </c>
      <c r="Q147" s="304">
        <f t="shared" ca="1" si="77"/>
        <v>670.99999999999977</v>
      </c>
      <c r="R147" s="306">
        <f t="shared" ca="1" si="78"/>
        <v>0.33674363695545489</v>
      </c>
      <c r="S147" s="307">
        <f t="shared" ca="1" si="79"/>
        <v>5.4789657330800585</v>
      </c>
      <c r="T147" s="304">
        <f t="shared" ca="1" si="59"/>
        <v>53.748653841515377</v>
      </c>
      <c r="U147" s="311">
        <f t="shared" ca="1" si="60"/>
        <v>0</v>
      </c>
      <c r="V147" s="306">
        <f t="shared" ca="1" si="61"/>
        <v>1.1948659276179501</v>
      </c>
      <c r="W147" s="304">
        <f t="shared" ca="1" si="62"/>
        <v>229.4027230481083</v>
      </c>
      <c r="Y147" s="314" t="str">
        <f t="shared" ca="1" si="80"/>
        <v/>
      </c>
      <c r="Z147" s="315" t="str">
        <f t="shared" ca="1" si="81"/>
        <v/>
      </c>
      <c r="AA147" s="316" t="str">
        <f t="shared" ca="1" si="82"/>
        <v/>
      </c>
      <c r="AC147" s="310" t="e">
        <f t="shared" ca="1" si="83"/>
        <v>#N/A</v>
      </c>
      <c r="AD147" s="323" t="e">
        <f t="shared" ca="1" si="84"/>
        <v>#N/A</v>
      </c>
      <c r="AE147" s="324">
        <f t="shared" ca="1" si="63"/>
        <v>249.05571865060426</v>
      </c>
      <c r="AG147" s="306">
        <f t="shared" ca="1" si="85"/>
        <v>71.198109130151678</v>
      </c>
      <c r="AH147" s="304">
        <f t="shared" ca="1" si="86"/>
        <v>80.833457047524988</v>
      </c>
    </row>
    <row r="148" spans="1:34" x14ac:dyDescent="0.2">
      <c r="A148" s="347">
        <f t="shared" ca="1" si="64"/>
        <v>0.01</v>
      </c>
      <c r="B148" s="304">
        <f t="shared" ca="1" si="65"/>
        <v>1.4400000000000011</v>
      </c>
      <c r="D148" s="306">
        <f t="shared" ca="1" si="66"/>
        <v>15.101340308883586</v>
      </c>
      <c r="E148" s="307">
        <f t="shared" ca="1" si="67"/>
        <v>69.114142444263479</v>
      </c>
      <c r="F148" s="304">
        <f t="shared" ca="1" si="68"/>
        <v>70.744718282926641</v>
      </c>
      <c r="G148" s="306">
        <f t="shared" ca="1" si="69"/>
        <v>45.866801257628644</v>
      </c>
      <c r="H148" s="307">
        <f t="shared" ca="1" si="70"/>
        <v>239.61558645935943</v>
      </c>
      <c r="I148" s="304">
        <f t="shared" ca="1" si="71"/>
        <v>243.96596633930224</v>
      </c>
      <c r="J148" s="306">
        <f t="shared" ca="1" si="72"/>
        <v>46.68418491134679</v>
      </c>
      <c r="K148" s="307">
        <f t="shared" ca="1" si="73"/>
        <v>251.44841880807564</v>
      </c>
      <c r="L148" s="304">
        <f t="shared" ca="1" si="58"/>
        <v>255.7454211553322</v>
      </c>
      <c r="M148" s="306">
        <f t="shared" ca="1" si="74"/>
        <v>1.3816658817639966</v>
      </c>
      <c r="N148" s="304">
        <f t="shared" ca="1" si="75"/>
        <v>79.163623722298425</v>
      </c>
      <c r="P148" s="310">
        <f t="shared" ca="1" si="76"/>
        <v>4</v>
      </c>
      <c r="Q148" s="304">
        <f t="shared" ca="1" si="77"/>
        <v>669.39999999999986</v>
      </c>
      <c r="R148" s="306">
        <f t="shared" ca="1" si="78"/>
        <v>0.33594067150220797</v>
      </c>
      <c r="S148" s="307">
        <f t="shared" ca="1" si="79"/>
        <v>5.4756063263650363</v>
      </c>
      <c r="T148" s="304">
        <f t="shared" ca="1" si="59"/>
        <v>53.715698061641007</v>
      </c>
      <c r="U148" s="311">
        <f t="shared" ca="1" si="60"/>
        <v>0</v>
      </c>
      <c r="V148" s="306">
        <f t="shared" ca="1" si="61"/>
        <v>1.1945800214710747</v>
      </c>
      <c r="W148" s="304">
        <f t="shared" ca="1" si="62"/>
        <v>230.68330114964945</v>
      </c>
      <c r="Y148" s="314" t="str">
        <f t="shared" ca="1" si="80"/>
        <v/>
      </c>
      <c r="Z148" s="315" t="str">
        <f t="shared" ca="1" si="81"/>
        <v/>
      </c>
      <c r="AA148" s="316" t="str">
        <f t="shared" ca="1" si="82"/>
        <v/>
      </c>
      <c r="AC148" s="310" t="e">
        <f t="shared" ca="1" si="83"/>
        <v>#N/A</v>
      </c>
      <c r="AD148" s="323" t="e">
        <f t="shared" ca="1" si="84"/>
        <v>#N/A</v>
      </c>
      <c r="AE148" s="324">
        <f t="shared" ca="1" si="63"/>
        <v>251.44841880807564</v>
      </c>
      <c r="AG148" s="306">
        <f t="shared" ca="1" si="85"/>
        <v>70.720692187623555</v>
      </c>
      <c r="AH148" s="304">
        <f t="shared" ca="1" si="86"/>
        <v>80.355900465909187</v>
      </c>
    </row>
    <row r="149" spans="1:34" x14ac:dyDescent="0.2">
      <c r="A149" s="347">
        <f t="shared" ca="1" si="64"/>
        <v>0.01</v>
      </c>
      <c r="B149" s="304">
        <f t="shared" ca="1" si="65"/>
        <v>1.4500000000000011</v>
      </c>
      <c r="D149" s="306">
        <f t="shared" ca="1" si="66"/>
        <v>15.017591369058044</v>
      </c>
      <c r="E149" s="307">
        <f t="shared" ca="1" si="67"/>
        <v>68.644325665567521</v>
      </c>
      <c r="F149" s="304">
        <f t="shared" ca="1" si="68"/>
        <v>70.267855357969324</v>
      </c>
      <c r="G149" s="306">
        <f t="shared" ca="1" si="69"/>
        <v>46.016977171319226</v>
      </c>
      <c r="H149" s="307">
        <f t="shared" ca="1" si="70"/>
        <v>240.30202971601511</v>
      </c>
      <c r="I149" s="304">
        <f t="shared" ca="1" si="71"/>
        <v>244.66840350487089</v>
      </c>
      <c r="J149" s="306">
        <f t="shared" ca="1" si="72"/>
        <v>47.14360380349153</v>
      </c>
      <c r="K149" s="307">
        <f t="shared" ca="1" si="73"/>
        <v>253.84800688895251</v>
      </c>
      <c r="L149" s="304">
        <f t="shared" ca="1" si="58"/>
        <v>258.18855509312232</v>
      </c>
      <c r="M149" s="306">
        <f t="shared" ca="1" si="74"/>
        <v>1.3815905010359866</v>
      </c>
      <c r="N149" s="304">
        <f t="shared" ca="1" si="75"/>
        <v>79.159304724726823</v>
      </c>
      <c r="P149" s="310">
        <f t="shared" ca="1" si="76"/>
        <v>4</v>
      </c>
      <c r="Q149" s="304">
        <f t="shared" ca="1" si="77"/>
        <v>667.79999999999984</v>
      </c>
      <c r="R149" s="306">
        <f t="shared" ca="1" si="78"/>
        <v>0.33513770604896098</v>
      </c>
      <c r="S149" s="307">
        <f t="shared" ca="1" si="79"/>
        <v>5.4722549493045465</v>
      </c>
      <c r="T149" s="304">
        <f t="shared" ca="1" si="59"/>
        <v>53.682821052677603</v>
      </c>
      <c r="U149" s="311">
        <f t="shared" ca="1" si="60"/>
        <v>0</v>
      </c>
      <c r="V149" s="306">
        <f t="shared" ca="1" si="61"/>
        <v>1.1942933601226595</v>
      </c>
      <c r="W149" s="304">
        <f t="shared" ca="1" si="62"/>
        <v>231.95792391574182</v>
      </c>
      <c r="Y149" s="314" t="str">
        <f t="shared" ca="1" si="80"/>
        <v/>
      </c>
      <c r="Z149" s="315" t="str">
        <f t="shared" ca="1" si="81"/>
        <v/>
      </c>
      <c r="AA149" s="316" t="str">
        <f t="shared" ca="1" si="82"/>
        <v/>
      </c>
      <c r="AC149" s="310" t="e">
        <f t="shared" ca="1" si="83"/>
        <v>#N/A</v>
      </c>
      <c r="AD149" s="323" t="e">
        <f t="shared" ca="1" si="84"/>
        <v>#N/A</v>
      </c>
      <c r="AE149" s="324">
        <f t="shared" ca="1" si="63"/>
        <v>253.84800688895251</v>
      </c>
      <c r="AG149" s="306">
        <f t="shared" ca="1" si="85"/>
        <v>70.243647043462033</v>
      </c>
      <c r="AH149" s="304">
        <f t="shared" ca="1" si="86"/>
        <v>79.878715977204678</v>
      </c>
    </row>
    <row r="150" spans="1:34" x14ac:dyDescent="0.2">
      <c r="A150" s="347">
        <f t="shared" ca="1" si="64"/>
        <v>0.01</v>
      </c>
      <c r="B150" s="304">
        <f t="shared" ca="1" si="65"/>
        <v>1.4600000000000011</v>
      </c>
      <c r="D150" s="306">
        <f t="shared" ca="1" si="66"/>
        <v>14.933829796081401</v>
      </c>
      <c r="E150" s="307">
        <f t="shared" ca="1" si="67"/>
        <v>68.174905398534804</v>
      </c>
      <c r="F150" s="304">
        <f t="shared" ca="1" si="68"/>
        <v>69.791381978561631</v>
      </c>
      <c r="G150" s="306">
        <f t="shared" ca="1" si="69"/>
        <v>46.166315469280043</v>
      </c>
      <c r="H150" s="307">
        <f t="shared" ca="1" si="70"/>
        <v>240.98377877000047</v>
      </c>
      <c r="I150" s="304">
        <f t="shared" ca="1" si="71"/>
        <v>245.36607408987416</v>
      </c>
      <c r="J150" s="306">
        <f t="shared" ca="1" si="72"/>
        <v>47.604520266694529</v>
      </c>
      <c r="K150" s="307">
        <f t="shared" ca="1" si="73"/>
        <v>256.2544359313826</v>
      </c>
      <c r="L150" s="304">
        <f t="shared" ca="1" si="58"/>
        <v>260.6386891548014</v>
      </c>
      <c r="M150" s="306">
        <f t="shared" ca="1" si="74"/>
        <v>1.3815153050441269</v>
      </c>
      <c r="N150" s="304">
        <f t="shared" ca="1" si="75"/>
        <v>79.15499631175696</v>
      </c>
      <c r="P150" s="310">
        <f t="shared" ca="1" si="76"/>
        <v>4</v>
      </c>
      <c r="Q150" s="304">
        <f t="shared" ca="1" si="77"/>
        <v>666.19999999999982</v>
      </c>
      <c r="R150" s="306">
        <f t="shared" ca="1" si="78"/>
        <v>0.33433474059571394</v>
      </c>
      <c r="S150" s="307">
        <f t="shared" ca="1" si="79"/>
        <v>5.468911601898589</v>
      </c>
      <c r="T150" s="304">
        <f t="shared" ca="1" si="59"/>
        <v>53.65002281462516</v>
      </c>
      <c r="U150" s="311">
        <f t="shared" ca="1" si="60"/>
        <v>0</v>
      </c>
      <c r="V150" s="306">
        <f t="shared" ca="1" si="61"/>
        <v>1.1940059497417139</v>
      </c>
      <c r="W150" s="304">
        <f t="shared" ca="1" si="62"/>
        <v>233.22652322483023</v>
      </c>
      <c r="Y150" s="314" t="str">
        <f t="shared" ca="1" si="80"/>
        <v/>
      </c>
      <c r="Z150" s="315" t="str">
        <f t="shared" ca="1" si="81"/>
        <v/>
      </c>
      <c r="AA150" s="316" t="str">
        <f t="shared" ca="1" si="82"/>
        <v/>
      </c>
      <c r="AC150" s="310" t="e">
        <f t="shared" ca="1" si="83"/>
        <v>#N/A</v>
      </c>
      <c r="AD150" s="323" t="e">
        <f t="shared" ca="1" si="84"/>
        <v>#N/A</v>
      </c>
      <c r="AE150" s="324">
        <f t="shared" ca="1" si="63"/>
        <v>256.2544359313826</v>
      </c>
      <c r="AG150" s="306">
        <f t="shared" ca="1" si="85"/>
        <v>69.766989129971776</v>
      </c>
      <c r="AH150" s="304">
        <f t="shared" ca="1" si="86"/>
        <v>79.401919009534978</v>
      </c>
    </row>
    <row r="151" spans="1:34" x14ac:dyDescent="0.2">
      <c r="A151" s="347">
        <f t="shared" ca="1" si="64"/>
        <v>0.01</v>
      </c>
      <c r="B151" s="304">
        <f t="shared" ca="1" si="65"/>
        <v>1.4700000000000011</v>
      </c>
      <c r="D151" s="306">
        <f t="shared" ca="1" si="66"/>
        <v>14.850059006005072</v>
      </c>
      <c r="E151" s="307">
        <f t="shared" ca="1" si="67"/>
        <v>67.705896554618121</v>
      </c>
      <c r="F151" s="304">
        <f t="shared" ca="1" si="68"/>
        <v>69.315313464965897</v>
      </c>
      <c r="G151" s="306">
        <f t="shared" ca="1" si="69"/>
        <v>46.314816059340096</v>
      </c>
      <c r="H151" s="307">
        <f t="shared" ca="1" si="70"/>
        <v>241.66083773554666</v>
      </c>
      <c r="I151" s="304">
        <f t="shared" ca="1" si="71"/>
        <v>246.05898211944373</v>
      </c>
      <c r="J151" s="306">
        <f t="shared" ca="1" si="72"/>
        <v>48.066925924337632</v>
      </c>
      <c r="K151" s="307">
        <f t="shared" ca="1" si="73"/>
        <v>258.66765901391034</v>
      </c>
      <c r="L151" s="304">
        <f t="shared" ca="1" si="58"/>
        <v>263.09577569309687</v>
      </c>
      <c r="M151" s="306">
        <f t="shared" ca="1" si="74"/>
        <v>1.3814402913617174</v>
      </c>
      <c r="N151" s="304">
        <f t="shared" ca="1" si="75"/>
        <v>79.150698344349166</v>
      </c>
      <c r="P151" s="310">
        <f t="shared" ca="1" si="76"/>
        <v>4</v>
      </c>
      <c r="Q151" s="304">
        <f t="shared" ca="1" si="77"/>
        <v>664.5999999999998</v>
      </c>
      <c r="R151" s="306">
        <f t="shared" ca="1" si="78"/>
        <v>0.33353177514246696</v>
      </c>
      <c r="S151" s="307">
        <f t="shared" ca="1" si="79"/>
        <v>5.465576284147164</v>
      </c>
      <c r="T151" s="304">
        <f t="shared" ca="1" si="59"/>
        <v>53.617303347483684</v>
      </c>
      <c r="U151" s="311">
        <f t="shared" ca="1" si="60"/>
        <v>0</v>
      </c>
      <c r="V151" s="306">
        <f t="shared" ca="1" si="61"/>
        <v>1.1937177964883539</v>
      </c>
      <c r="W151" s="304">
        <f t="shared" ca="1" si="62"/>
        <v>234.48903197177336</v>
      </c>
      <c r="Y151" s="314" t="str">
        <f t="shared" ca="1" si="80"/>
        <v/>
      </c>
      <c r="Z151" s="315" t="str">
        <f t="shared" ca="1" si="81"/>
        <v/>
      </c>
      <c r="AA151" s="316" t="str">
        <f t="shared" ca="1" si="82"/>
        <v/>
      </c>
      <c r="AC151" s="310" t="e">
        <f t="shared" ca="1" si="83"/>
        <v>#N/A</v>
      </c>
      <c r="AD151" s="323" t="e">
        <f t="shared" ca="1" si="84"/>
        <v>#N/A</v>
      </c>
      <c r="AE151" s="324">
        <f t="shared" ca="1" si="63"/>
        <v>258.66765901391034</v>
      </c>
      <c r="AG151" s="306">
        <f t="shared" ca="1" si="85"/>
        <v>69.290733727613201</v>
      </c>
      <c r="AH151" s="304">
        <f t="shared" ca="1" si="86"/>
        <v>78.92552483923113</v>
      </c>
    </row>
    <row r="152" spans="1:34" x14ac:dyDescent="0.2">
      <c r="A152" s="347">
        <f t="shared" ca="1" si="64"/>
        <v>0.01</v>
      </c>
      <c r="B152" s="304">
        <f t="shared" ca="1" si="65"/>
        <v>1.4800000000000011</v>
      </c>
      <c r="D152" s="306">
        <f t="shared" ca="1" si="66"/>
        <v>14.766282383207212</v>
      </c>
      <c r="E152" s="307">
        <f t="shared" ca="1" si="67"/>
        <v>67.23731389612999</v>
      </c>
      <c r="F152" s="304">
        <f t="shared" ca="1" si="68"/>
        <v>68.839664986019002</v>
      </c>
      <c r="G152" s="306">
        <f t="shared" ca="1" si="69"/>
        <v>46.462478883172167</v>
      </c>
      <c r="H152" s="307">
        <f t="shared" ca="1" si="70"/>
        <v>242.33321087450796</v>
      </c>
      <c r="I152" s="304">
        <f t="shared" ca="1" si="71"/>
        <v>246.74713176999234</v>
      </c>
      <c r="J152" s="306">
        <f t="shared" ca="1" si="72"/>
        <v>48.530812399050191</v>
      </c>
      <c r="K152" s="307">
        <f t="shared" ca="1" si="73"/>
        <v>261.08762925696061</v>
      </c>
      <c r="L152" s="304">
        <f t="shared" ca="1" si="58"/>
        <v>265.55976710174286</v>
      </c>
      <c r="M152" s="306">
        <f t="shared" ca="1" si="74"/>
        <v>1.3813654575933738</v>
      </c>
      <c r="N152" s="304">
        <f t="shared" ca="1" si="75"/>
        <v>79.146410685258019</v>
      </c>
      <c r="P152" s="310">
        <f t="shared" ca="1" si="76"/>
        <v>4</v>
      </c>
      <c r="Q152" s="304">
        <f t="shared" ca="1" si="77"/>
        <v>662.99999999999977</v>
      </c>
      <c r="R152" s="306">
        <f t="shared" ca="1" si="78"/>
        <v>0.33272880968921997</v>
      </c>
      <c r="S152" s="307">
        <f t="shared" ca="1" si="79"/>
        <v>5.4622489960502723</v>
      </c>
      <c r="T152" s="304">
        <f t="shared" ca="1" si="59"/>
        <v>53.584662651253176</v>
      </c>
      <c r="U152" s="311">
        <f t="shared" ca="1" si="60"/>
        <v>0</v>
      </c>
      <c r="V152" s="306">
        <f t="shared" ca="1" si="61"/>
        <v>1.1934289065135935</v>
      </c>
      <c r="W152" s="304">
        <f t="shared" ca="1" si="62"/>
        <v>235.74538406656029</v>
      </c>
      <c r="Y152" s="314" t="str">
        <f t="shared" ca="1" si="80"/>
        <v/>
      </c>
      <c r="Z152" s="315" t="str">
        <f t="shared" ca="1" si="81"/>
        <v/>
      </c>
      <c r="AA152" s="316" t="str">
        <f t="shared" ca="1" si="82"/>
        <v/>
      </c>
      <c r="AC152" s="310" t="e">
        <f t="shared" ca="1" si="83"/>
        <v>#N/A</v>
      </c>
      <c r="AD152" s="323" t="e">
        <f t="shared" ca="1" si="84"/>
        <v>#N/A</v>
      </c>
      <c r="AE152" s="324">
        <f t="shared" ca="1" si="63"/>
        <v>261.08762925696061</v>
      </c>
      <c r="AG152" s="306">
        <f t="shared" ca="1" si="85"/>
        <v>68.814895964519991</v>
      </c>
      <c r="AH152" s="304">
        <f t="shared" ca="1" si="86"/>
        <v>78.449548590348186</v>
      </c>
    </row>
    <row r="153" spans="1:34" x14ac:dyDescent="0.2">
      <c r="A153" s="347">
        <f t="shared" ca="1" si="64"/>
        <v>0.01</v>
      </c>
      <c r="B153" s="304">
        <f t="shared" ca="1" si="65"/>
        <v>1.4900000000000011</v>
      </c>
      <c r="D153" s="306">
        <f t="shared" ca="1" si="66"/>
        <v>14.682503280354487</v>
      </c>
      <c r="E153" s="307">
        <f t="shared" ca="1" si="67"/>
        <v>66.769172035792039</v>
      </c>
      <c r="F153" s="304">
        <f t="shared" ca="1" si="68"/>
        <v>68.364451558707131</v>
      </c>
      <c r="G153" s="306">
        <f t="shared" ca="1" si="69"/>
        <v>46.609303915975715</v>
      </c>
      <c r="H153" s="307">
        <f t="shared" ca="1" si="70"/>
        <v>243.00090259486586</v>
      </c>
      <c r="I153" s="304">
        <f t="shared" ca="1" si="71"/>
        <v>247.43052736768612</v>
      </c>
      <c r="J153" s="306">
        <f t="shared" ca="1" si="72"/>
        <v>48.996171313045927</v>
      </c>
      <c r="K153" s="307">
        <f t="shared" ca="1" si="73"/>
        <v>263.5142998243075</v>
      </c>
      <c r="L153" s="304">
        <f t="shared" ca="1" si="58"/>
        <v>268.03061581698529</v>
      </c>
      <c r="M153" s="306">
        <f t="shared" ca="1" si="74"/>
        <v>1.3812908013744478</v>
      </c>
      <c r="N153" s="304">
        <f t="shared" ca="1" si="75"/>
        <v>79.142133198999147</v>
      </c>
      <c r="P153" s="310">
        <f t="shared" ca="1" si="76"/>
        <v>4</v>
      </c>
      <c r="Q153" s="304">
        <f t="shared" ca="1" si="77"/>
        <v>661.39999999999986</v>
      </c>
      <c r="R153" s="306">
        <f t="shared" ca="1" si="78"/>
        <v>0.33192584423597304</v>
      </c>
      <c r="S153" s="307">
        <f t="shared" ca="1" si="79"/>
        <v>5.4589297376079129</v>
      </c>
      <c r="T153" s="304">
        <f t="shared" ca="1" si="59"/>
        <v>53.552100725933627</v>
      </c>
      <c r="U153" s="311">
        <f t="shared" ca="1" si="60"/>
        <v>0</v>
      </c>
      <c r="V153" s="306">
        <f t="shared" ca="1" si="61"/>
        <v>1.1931392859591416</v>
      </c>
      <c r="W153" s="304">
        <f t="shared" ca="1" si="62"/>
        <v>236.99551443287308</v>
      </c>
      <c r="Y153" s="314" t="str">
        <f t="shared" ca="1" si="80"/>
        <v/>
      </c>
      <c r="Z153" s="315" t="str">
        <f t="shared" ca="1" si="81"/>
        <v/>
      </c>
      <c r="AA153" s="316" t="str">
        <f t="shared" ca="1" si="82"/>
        <v/>
      </c>
      <c r="AC153" s="310" t="e">
        <f t="shared" ca="1" si="83"/>
        <v>#N/A</v>
      </c>
      <c r="AD153" s="323" t="e">
        <f t="shared" ca="1" si="84"/>
        <v>#N/A</v>
      </c>
      <c r="AE153" s="324">
        <f t="shared" ca="1" si="63"/>
        <v>263.5142998243075</v>
      </c>
      <c r="AG153" s="306">
        <f t="shared" ca="1" si="85"/>
        <v>68.339490816047558</v>
      </c>
      <c r="AH153" s="304">
        <f t="shared" ca="1" si="86"/>
        <v>77.974005234212854</v>
      </c>
    </row>
    <row r="154" spans="1:34" x14ac:dyDescent="0.2">
      <c r="A154" s="347">
        <f t="shared" ca="1" si="64"/>
        <v>0.01</v>
      </c>
      <c r="B154" s="304">
        <f t="shared" ca="1" si="65"/>
        <v>1.5000000000000011</v>
      </c>
      <c r="D154" s="306">
        <f t="shared" ca="1" si="66"/>
        <v>14.598725018367324</v>
      </c>
      <c r="E154" s="307">
        <f t="shared" ca="1" si="67"/>
        <v>66.301485436313769</v>
      </c>
      <c r="F154" s="304">
        <f t="shared" ca="1" si="68"/>
        <v>67.889688047770775</v>
      </c>
      <c r="G154" s="306">
        <f t="shared" ca="1" si="69"/>
        <v>46.755291166159388</v>
      </c>
      <c r="H154" s="307">
        <f t="shared" ca="1" si="70"/>
        <v>243.66391744922899</v>
      </c>
      <c r="I154" s="304">
        <f t="shared" ca="1" si="71"/>
        <v>248.10917338691252</v>
      </c>
      <c r="J154" s="306">
        <f t="shared" ca="1" si="72"/>
        <v>49.462994288456606</v>
      </c>
      <c r="K154" s="307">
        <f t="shared" ca="1" si="73"/>
        <v>265.94762392452799</v>
      </c>
      <c r="L154" s="304">
        <f t="shared" ca="1" si="58"/>
        <v>270.50827431907152</v>
      </c>
      <c r="M154" s="306">
        <f t="shared" ca="1" si="74"/>
        <v>1.3812163203704588</v>
      </c>
      <c r="N154" s="304">
        <f t="shared" ca="1" si="75"/>
        <v>79.13786575181669</v>
      </c>
      <c r="P154" s="310">
        <f t="shared" ca="1" si="76"/>
        <v>4</v>
      </c>
      <c r="Q154" s="304">
        <f t="shared" ca="1" si="77"/>
        <v>659.79999999999984</v>
      </c>
      <c r="R154" s="306">
        <f t="shared" ca="1" si="78"/>
        <v>0.331122878782726</v>
      </c>
      <c r="S154" s="307">
        <f t="shared" ca="1" si="79"/>
        <v>5.4556185088200859</v>
      </c>
      <c r="T154" s="304">
        <f t="shared" ca="1" si="59"/>
        <v>53.519617571525046</v>
      </c>
      <c r="U154" s="311">
        <f t="shared" ca="1" si="60"/>
        <v>0</v>
      </c>
      <c r="V154" s="306">
        <f t="shared" ca="1" si="61"/>
        <v>1.1928489409572001</v>
      </c>
      <c r="W154" s="304">
        <f t="shared" ca="1" si="62"/>
        <v>238.23935900649468</v>
      </c>
      <c r="Y154" s="314" t="str">
        <f t="shared" ca="1" si="80"/>
        <v/>
      </c>
      <c r="Z154" s="315" t="str">
        <f t="shared" ca="1" si="81"/>
        <v/>
      </c>
      <c r="AA154" s="316" t="str">
        <f t="shared" ca="1" si="82"/>
        <v/>
      </c>
      <c r="AC154" s="310" t="e">
        <f t="shared" ca="1" si="83"/>
        <v>#N/A</v>
      </c>
      <c r="AD154" s="323" t="e">
        <f t="shared" ca="1" si="84"/>
        <v>#N/A</v>
      </c>
      <c r="AE154" s="324">
        <f t="shared" ca="1" si="63"/>
        <v>265.94762392452799</v>
      </c>
      <c r="AG154" s="306">
        <f t="shared" ca="1" si="85"/>
        <v>67.864533104351324</v>
      </c>
      <c r="AH154" s="304">
        <f t="shared" ca="1" si="86"/>
        <v>77.498909589000718</v>
      </c>
    </row>
    <row r="155" spans="1:34" x14ac:dyDescent="0.2">
      <c r="A155" s="347">
        <f t="shared" ca="1" si="64"/>
        <v>0.01</v>
      </c>
      <c r="B155" s="304">
        <f t="shared" ca="1" si="65"/>
        <v>1.5100000000000011</v>
      </c>
      <c r="D155" s="306">
        <f t="shared" ca="1" si="66"/>
        <v>14.517371206962213</v>
      </c>
      <c r="E155" s="307">
        <f t="shared" ca="1" si="67"/>
        <v>65.84688184428056</v>
      </c>
      <c r="F155" s="304">
        <f t="shared" ca="1" si="68"/>
        <v>67.428227882507642</v>
      </c>
      <c r="G155" s="306">
        <f t="shared" ca="1" si="69"/>
        <v>46.900464878229009</v>
      </c>
      <c r="H155" s="307">
        <f t="shared" ca="1" si="70"/>
        <v>244.32238626767179</v>
      </c>
      <c r="I155" s="304">
        <f t="shared" ca="1" si="71"/>
        <v>248.7832028842048</v>
      </c>
      <c r="J155" s="306">
        <f t="shared" ca="1" si="72"/>
        <v>49.93127306867855</v>
      </c>
      <c r="K155" s="307">
        <f t="shared" ca="1" si="73"/>
        <v>268.38755544311249</v>
      </c>
      <c r="L155" s="304">
        <f t="shared" ca="1" si="58"/>
        <v>272.992695775892</v>
      </c>
      <c r="M155" s="306">
        <f t="shared" ca="1" si="74"/>
        <v>1.381142012314901</v>
      </c>
      <c r="N155" s="304">
        <f t="shared" ca="1" si="75"/>
        <v>79.133608213849399</v>
      </c>
      <c r="P155" s="310">
        <f t="shared" ca="1" si="76"/>
        <v>5</v>
      </c>
      <c r="Q155" s="304">
        <f t="shared" ca="1" si="77"/>
        <v>658.26999999999987</v>
      </c>
      <c r="R155" s="306">
        <f t="shared" ca="1" si="78"/>
        <v>0.33035504306805863</v>
      </c>
      <c r="S155" s="307">
        <f t="shared" ca="1" si="79"/>
        <v>5.4523149583894055</v>
      </c>
      <c r="T155" s="304">
        <f t="shared" ca="1" si="59"/>
        <v>53.487209741800072</v>
      </c>
      <c r="U155" s="311">
        <f t="shared" ca="1" si="60"/>
        <v>0</v>
      </c>
      <c r="V155" s="306">
        <f t="shared" ca="1" si="61"/>
        <v>1.1925578775550381</v>
      </c>
      <c r="W155" s="304">
        <f t="shared" ca="1" si="62"/>
        <v>239.47710198068341</v>
      </c>
      <c r="Y155" s="314" t="str">
        <f t="shared" ca="1" si="80"/>
        <v/>
      </c>
      <c r="Z155" s="315" t="str">
        <f t="shared" ca="1" si="81"/>
        <v/>
      </c>
      <c r="AA155" s="316" t="str">
        <f t="shared" ca="1" si="82"/>
        <v/>
      </c>
      <c r="AC155" s="310" t="e">
        <f t="shared" ca="1" si="83"/>
        <v>#N/A</v>
      </c>
      <c r="AD155" s="323" t="e">
        <f t="shared" ca="1" si="84"/>
        <v>#N/A</v>
      </c>
      <c r="AE155" s="324">
        <f t="shared" ca="1" si="63"/>
        <v>268.38755544311249</v>
      </c>
      <c r="AG155" s="306">
        <f t="shared" ca="1" si="85"/>
        <v>67.402881044078256</v>
      </c>
      <c r="AH155" s="304">
        <f t="shared" ca="1" si="86"/>
        <v>77.037119865426988</v>
      </c>
    </row>
    <row r="156" spans="1:34" x14ac:dyDescent="0.2">
      <c r="A156" s="347">
        <f t="shared" ca="1" si="64"/>
        <v>0.01</v>
      </c>
      <c r="B156" s="304">
        <f t="shared" ca="1" si="65"/>
        <v>1.5200000000000011</v>
      </c>
      <c r="D156" s="306">
        <f t="shared" ca="1" si="66"/>
        <v>14.438444665511597</v>
      </c>
      <c r="E156" s="307">
        <f t="shared" ca="1" si="67"/>
        <v>65.405357967785136</v>
      </c>
      <c r="F156" s="304">
        <f t="shared" ca="1" si="68"/>
        <v>66.980068193852674</v>
      </c>
      <c r="G156" s="306">
        <f t="shared" ca="1" si="69"/>
        <v>47.044849324884126</v>
      </c>
      <c r="H156" s="307">
        <f t="shared" ca="1" si="70"/>
        <v>244.97643984734964</v>
      </c>
      <c r="I156" s="304">
        <f t="shared" ca="1" si="71"/>
        <v>249.45274888900937</v>
      </c>
      <c r="J156" s="306">
        <f t="shared" ca="1" si="72"/>
        <v>50.400999639694113</v>
      </c>
      <c r="K156" s="307">
        <f t="shared" ca="1" si="73"/>
        <v>270.83404957368759</v>
      </c>
      <c r="L156" s="304">
        <f t="shared" ca="1" si="58"/>
        <v>275.48383468574548</v>
      </c>
      <c r="M156" s="306">
        <f t="shared" ca="1" si="74"/>
        <v>1.3810678750079017</v>
      </c>
      <c r="N156" s="304">
        <f t="shared" ca="1" si="75"/>
        <v>79.129360459053871</v>
      </c>
      <c r="P156" s="310">
        <f t="shared" ca="1" si="76"/>
        <v>5</v>
      </c>
      <c r="Q156" s="304">
        <f t="shared" ca="1" si="77"/>
        <v>656.80999999999983</v>
      </c>
      <c r="R156" s="306">
        <f t="shared" ca="1" si="78"/>
        <v>0.3296223370919707</v>
      </c>
      <c r="S156" s="307">
        <f t="shared" ca="1" si="79"/>
        <v>5.4490187350184858</v>
      </c>
      <c r="T156" s="304">
        <f t="shared" ca="1" si="59"/>
        <v>53.454873790531352</v>
      </c>
      <c r="U156" s="311">
        <f t="shared" ca="1" si="60"/>
        <v>0</v>
      </c>
      <c r="V156" s="306">
        <f t="shared" ca="1" si="61"/>
        <v>1.1922661016397846</v>
      </c>
      <c r="W156" s="304">
        <f t="shared" ca="1" si="62"/>
        <v>240.70893061252602</v>
      </c>
      <c r="Y156" s="314" t="str">
        <f t="shared" ca="1" si="80"/>
        <v/>
      </c>
      <c r="Z156" s="315" t="str">
        <f t="shared" ca="1" si="81"/>
        <v/>
      </c>
      <c r="AA156" s="316" t="str">
        <f t="shared" ca="1" si="82"/>
        <v/>
      </c>
      <c r="AC156" s="310" t="e">
        <f t="shared" ca="1" si="83"/>
        <v>#N/A</v>
      </c>
      <c r="AD156" s="323" t="e">
        <f t="shared" ca="1" si="84"/>
        <v>#N/A</v>
      </c>
      <c r="AE156" s="324">
        <f t="shared" ca="1" si="63"/>
        <v>270.83404957368759</v>
      </c>
      <c r="AG156" s="306">
        <f t="shared" ca="1" si="85"/>
        <v>66.954531926597298</v>
      </c>
      <c r="AH156" s="304">
        <f t="shared" ca="1" si="86"/>
        <v>76.588633351046937</v>
      </c>
    </row>
    <row r="157" spans="1:34" x14ac:dyDescent="0.2">
      <c r="A157" s="347">
        <f t="shared" ca="1" si="64"/>
        <v>0.01</v>
      </c>
      <c r="B157" s="304">
        <f t="shared" ca="1" si="65"/>
        <v>1.5300000000000011</v>
      </c>
      <c r="D157" s="306">
        <f t="shared" ca="1" si="66"/>
        <v>14.35952292881224</v>
      </c>
      <c r="E157" s="307">
        <f t="shared" ca="1" si="67"/>
        <v>64.964281467325605</v>
      </c>
      <c r="F157" s="304">
        <f t="shared" ca="1" si="68"/>
        <v>66.532351268454278</v>
      </c>
      <c r="G157" s="306">
        <f t="shared" ca="1" si="69"/>
        <v>47.18844455417225</v>
      </c>
      <c r="H157" s="307">
        <f t="shared" ca="1" si="70"/>
        <v>245.6260826620229</v>
      </c>
      <c r="I157" s="304">
        <f t="shared" ca="1" si="71"/>
        <v>250.11781580553813</v>
      </c>
      <c r="J157" s="306">
        <f t="shared" ca="1" si="72"/>
        <v>50.872166109089392</v>
      </c>
      <c r="K157" s="307">
        <f t="shared" ca="1" si="73"/>
        <v>273.28706218623444</v>
      </c>
      <c r="L157" s="304">
        <f t="shared" ca="1" si="58"/>
        <v>277.9816462340878</v>
      </c>
      <c r="M157" s="306">
        <f t="shared" ca="1" si="74"/>
        <v>1.3809939062768899</v>
      </c>
      <c r="N157" s="304">
        <f t="shared" ca="1" si="75"/>
        <v>79.125122362950961</v>
      </c>
      <c r="P157" s="310">
        <f t="shared" ca="1" si="76"/>
        <v>5</v>
      </c>
      <c r="Q157" s="304">
        <f t="shared" ca="1" si="77"/>
        <v>655.3499999999998</v>
      </c>
      <c r="R157" s="306">
        <f t="shared" ca="1" si="78"/>
        <v>0.32888963111588282</v>
      </c>
      <c r="S157" s="307">
        <f t="shared" ca="1" si="79"/>
        <v>5.4457298387073267</v>
      </c>
      <c r="T157" s="304">
        <f t="shared" ca="1" si="59"/>
        <v>53.422609717718878</v>
      </c>
      <c r="U157" s="311">
        <f t="shared" ca="1" si="60"/>
        <v>0</v>
      </c>
      <c r="V157" s="306">
        <f t="shared" ca="1" si="61"/>
        <v>1.191973619013903</v>
      </c>
      <c r="W157" s="304">
        <f t="shared" ca="1" si="62"/>
        <v>241.9347864028135</v>
      </c>
      <c r="Y157" s="314" t="str">
        <f t="shared" ca="1" si="80"/>
        <v/>
      </c>
      <c r="Z157" s="315" t="str">
        <f t="shared" ca="1" si="81"/>
        <v/>
      </c>
      <c r="AA157" s="316" t="str">
        <f t="shared" ca="1" si="82"/>
        <v/>
      </c>
      <c r="AC157" s="310" t="e">
        <f t="shared" ca="1" si="83"/>
        <v>#N/A</v>
      </c>
      <c r="AD157" s="323" t="e">
        <f t="shared" ca="1" si="84"/>
        <v>#N/A</v>
      </c>
      <c r="AE157" s="324">
        <f t="shared" ca="1" si="63"/>
        <v>273.28706218623444</v>
      </c>
      <c r="AG157" s="306">
        <f t="shared" ca="1" si="85"/>
        <v>66.506623228479171</v>
      </c>
      <c r="AH157" s="304">
        <f t="shared" ca="1" si="86"/>
        <v>76.140587518733511</v>
      </c>
    </row>
    <row r="158" spans="1:34" x14ac:dyDescent="0.2">
      <c r="A158" s="347">
        <f t="shared" ca="1" si="64"/>
        <v>0.01</v>
      </c>
      <c r="B158" s="304">
        <f t="shared" ca="1" si="65"/>
        <v>1.5400000000000011</v>
      </c>
      <c r="D158" s="306">
        <f t="shared" ca="1" si="66"/>
        <v>14.280609001950065</v>
      </c>
      <c r="E158" s="307">
        <f t="shared" ca="1" si="67"/>
        <v>64.523665377552234</v>
      </c>
      <c r="F158" s="304">
        <f t="shared" ca="1" si="68"/>
        <v>66.085090506262532</v>
      </c>
      <c r="G158" s="306">
        <f t="shared" ca="1" si="69"/>
        <v>47.331250644191748</v>
      </c>
      <c r="H158" s="307">
        <f t="shared" ca="1" si="70"/>
        <v>246.27131931579842</v>
      </c>
      <c r="I158" s="304">
        <f t="shared" ca="1" si="71"/>
        <v>250.77840817161123</v>
      </c>
      <c r="J158" s="306">
        <f t="shared" ca="1" si="72"/>
        <v>51.344764585081215</v>
      </c>
      <c r="K158" s="307">
        <f t="shared" ca="1" si="73"/>
        <v>275.74654919612357</v>
      </c>
      <c r="L158" s="304">
        <f t="shared" ca="1" si="58"/>
        <v>280.48608565108469</v>
      </c>
      <c r="M158" s="306">
        <f t="shared" ca="1" si="74"/>
        <v>1.3809201039761096</v>
      </c>
      <c r="N158" s="304">
        <f t="shared" ca="1" si="75"/>
        <v>79.120893802597891</v>
      </c>
      <c r="P158" s="310">
        <f t="shared" ca="1" si="76"/>
        <v>5</v>
      </c>
      <c r="Q158" s="304">
        <f t="shared" ca="1" si="77"/>
        <v>653.88999999999987</v>
      </c>
      <c r="R158" s="306">
        <f t="shared" ca="1" si="78"/>
        <v>0.328156925139795</v>
      </c>
      <c r="S158" s="307">
        <f t="shared" ca="1" si="79"/>
        <v>5.4424482694559284</v>
      </c>
      <c r="T158" s="304">
        <f t="shared" ca="1" si="59"/>
        <v>53.390417523362657</v>
      </c>
      <c r="U158" s="311">
        <f t="shared" ca="1" si="60"/>
        <v>0</v>
      </c>
      <c r="V158" s="306">
        <f t="shared" ca="1" si="61"/>
        <v>1.191680435470462</v>
      </c>
      <c r="W158" s="304">
        <f t="shared" ca="1" si="62"/>
        <v>243.15461176931689</v>
      </c>
      <c r="Y158" s="314" t="str">
        <f t="shared" ca="1" si="80"/>
        <v/>
      </c>
      <c r="Z158" s="315" t="str">
        <f t="shared" ca="1" si="81"/>
        <v/>
      </c>
      <c r="AA158" s="316" t="str">
        <f t="shared" ca="1" si="82"/>
        <v/>
      </c>
      <c r="AC158" s="310" t="e">
        <f t="shared" ca="1" si="83"/>
        <v>#N/A</v>
      </c>
      <c r="AD158" s="323" t="e">
        <f t="shared" ca="1" si="84"/>
        <v>#N/A</v>
      </c>
      <c r="AE158" s="324">
        <f t="shared" ca="1" si="63"/>
        <v>275.74654919612357</v>
      </c>
      <c r="AG158" s="306">
        <f t="shared" ca="1" si="85"/>
        <v>66.059168310575984</v>
      </c>
      <c r="AH158" s="304">
        <f t="shared" ca="1" si="86"/>
        <v>75.692995725684455</v>
      </c>
    </row>
    <row r="159" spans="1:34" x14ac:dyDescent="0.2">
      <c r="A159" s="347">
        <f t="shared" ca="1" si="64"/>
        <v>0.01</v>
      </c>
      <c r="B159" s="304">
        <f t="shared" ca="1" si="65"/>
        <v>1.5500000000000012</v>
      </c>
      <c r="D159" s="306">
        <f t="shared" ca="1" si="66"/>
        <v>14.20170586119667</v>
      </c>
      <c r="E159" s="307">
        <f t="shared" ca="1" si="67"/>
        <v>64.083522595963871</v>
      </c>
      <c r="F159" s="304">
        <f t="shared" ca="1" si="68"/>
        <v>65.63829916805706</v>
      </c>
      <c r="G159" s="306">
        <f t="shared" ca="1" si="69"/>
        <v>47.473267702803717</v>
      </c>
      <c r="H159" s="307">
        <f t="shared" ca="1" si="70"/>
        <v>246.91215454175807</v>
      </c>
      <c r="I159" s="304">
        <f t="shared" ca="1" si="71"/>
        <v>251.43453065725697</v>
      </c>
      <c r="J159" s="306">
        <f t="shared" ca="1" si="72"/>
        <v>51.818787176816194</v>
      </c>
      <c r="K159" s="307">
        <f t="shared" ca="1" si="73"/>
        <v>278.21246656541138</v>
      </c>
      <c r="L159" s="304">
        <f t="shared" ca="1" si="58"/>
        <v>282.99710821293974</v>
      </c>
      <c r="M159" s="306">
        <f t="shared" ca="1" si="74"/>
        <v>1.3808464659861466</v>
      </c>
      <c r="N159" s="304">
        <f t="shared" ca="1" si="75"/>
        <v>79.116674656561187</v>
      </c>
      <c r="P159" s="310">
        <f t="shared" ca="1" si="76"/>
        <v>5</v>
      </c>
      <c r="Q159" s="304">
        <f t="shared" ca="1" si="77"/>
        <v>652.42999999999984</v>
      </c>
      <c r="R159" s="306">
        <f t="shared" ca="1" si="78"/>
        <v>0.32742421916370706</v>
      </c>
      <c r="S159" s="307">
        <f t="shared" ca="1" si="79"/>
        <v>5.4391740272642917</v>
      </c>
      <c r="T159" s="304">
        <f t="shared" ca="1" si="59"/>
        <v>53.358297207462705</v>
      </c>
      <c r="U159" s="311">
        <f t="shared" ca="1" si="60"/>
        <v>0</v>
      </c>
      <c r="V159" s="306">
        <f t="shared" ca="1" si="61"/>
        <v>1.1913865567929565</v>
      </c>
      <c r="W159" s="304">
        <f t="shared" ca="1" si="62"/>
        <v>244.36835004494375</v>
      </c>
      <c r="Y159" s="314" t="str">
        <f t="shared" ca="1" si="80"/>
        <v/>
      </c>
      <c r="Z159" s="315" t="str">
        <f t="shared" ca="1" si="81"/>
        <v/>
      </c>
      <c r="AA159" s="316" t="str">
        <f t="shared" ca="1" si="82"/>
        <v/>
      </c>
      <c r="AC159" s="310" t="e">
        <f t="shared" ca="1" si="83"/>
        <v>#N/A</v>
      </c>
      <c r="AD159" s="323" t="e">
        <f t="shared" ca="1" si="84"/>
        <v>#N/A</v>
      </c>
      <c r="AE159" s="324">
        <f t="shared" ca="1" si="63"/>
        <v>278.21246656541138</v>
      </c>
      <c r="AG159" s="306">
        <f t="shared" ca="1" si="85"/>
        <v>65.612180393709977</v>
      </c>
      <c r="AH159" s="304">
        <f t="shared" ca="1" si="86"/>
        <v>75.245871189110247</v>
      </c>
    </row>
    <row r="160" spans="1:34" x14ac:dyDescent="0.2">
      <c r="A160" s="347">
        <f t="shared" ca="1" si="64"/>
        <v>0.01</v>
      </c>
      <c r="B160" s="304">
        <f t="shared" ca="1" si="65"/>
        <v>1.5600000000000012</v>
      </c>
      <c r="D160" s="306">
        <f t="shared" ca="1" si="66"/>
        <v>14.122816453991202</v>
      </c>
      <c r="E160" s="307">
        <f t="shared" ca="1" si="67"/>
        <v>63.643865882647347</v>
      </c>
      <c r="F160" s="304">
        <f t="shared" ca="1" si="68"/>
        <v>65.191990375210423</v>
      </c>
      <c r="G160" s="306">
        <f t="shared" ca="1" si="69"/>
        <v>47.614495867343628</v>
      </c>
      <c r="H160" s="307">
        <f t="shared" ca="1" si="70"/>
        <v>247.54859320058455</v>
      </c>
      <c r="I160" s="304">
        <f t="shared" ca="1" si="71"/>
        <v>252.08618806330858</v>
      </c>
      <c r="J160" s="306">
        <f t="shared" ca="1" si="72"/>
        <v>52.294225994666931</v>
      </c>
      <c r="K160" s="307">
        <f t="shared" ca="1" si="73"/>
        <v>280.68477030412311</v>
      </c>
      <c r="L160" s="304">
        <f t="shared" ca="1" si="58"/>
        <v>285.51466924321005</v>
      </c>
      <c r="M160" s="306">
        <f t="shared" ca="1" si="74"/>
        <v>1.3807729902134629</v>
      </c>
      <c r="N160" s="304">
        <f t="shared" ca="1" si="75"/>
        <v>79.112464804889939</v>
      </c>
      <c r="P160" s="310">
        <f t="shared" ca="1" si="76"/>
        <v>5</v>
      </c>
      <c r="Q160" s="304">
        <f t="shared" ca="1" si="77"/>
        <v>650.9699999999998</v>
      </c>
      <c r="R160" s="306">
        <f t="shared" ca="1" si="78"/>
        <v>0.32669151318761919</v>
      </c>
      <c r="S160" s="307">
        <f t="shared" ca="1" si="79"/>
        <v>5.4359071121324156</v>
      </c>
      <c r="T160" s="304">
        <f t="shared" ca="1" si="59"/>
        <v>53.326248770018999</v>
      </c>
      <c r="U160" s="311">
        <f t="shared" ca="1" si="60"/>
        <v>0</v>
      </c>
      <c r="V160" s="306">
        <f t="shared" ca="1" si="61"/>
        <v>1.1910919887551317</v>
      </c>
      <c r="W160" s="304">
        <f t="shared" ca="1" si="62"/>
        <v>245.57594547576758</v>
      </c>
      <c r="Y160" s="314" t="str">
        <f t="shared" ca="1" si="80"/>
        <v/>
      </c>
      <c r="Z160" s="315" t="str">
        <f t="shared" ca="1" si="81"/>
        <v/>
      </c>
      <c r="AA160" s="316" t="str">
        <f t="shared" ca="1" si="82"/>
        <v/>
      </c>
      <c r="AC160" s="310" t="e">
        <f t="shared" ca="1" si="83"/>
        <v>#N/A</v>
      </c>
      <c r="AD160" s="323" t="e">
        <f t="shared" ca="1" si="84"/>
        <v>#N/A</v>
      </c>
      <c r="AE160" s="324">
        <f t="shared" ca="1" si="63"/>
        <v>280.68477030412311</v>
      </c>
      <c r="AG160" s="306">
        <f t="shared" ca="1" si="85"/>
        <v>65.165672558412894</v>
      </c>
      <c r="AH160" s="304">
        <f t="shared" ca="1" si="86"/>
        <v>74.799226985972723</v>
      </c>
    </row>
    <row r="161" spans="1:34" x14ac:dyDescent="0.2">
      <c r="A161" s="347">
        <f t="shared" ca="1" si="64"/>
        <v>0.01</v>
      </c>
      <c r="B161" s="304">
        <f t="shared" ca="1" si="65"/>
        <v>1.5700000000000012</v>
      </c>
      <c r="D161" s="306">
        <f t="shared" ca="1" si="66"/>
        <v>14.043943698925636</v>
      </c>
      <c r="E161" s="307">
        <f t="shared" ca="1" si="67"/>
        <v>63.204707860041665</v>
      </c>
      <c r="F161" s="304">
        <f t="shared" ca="1" si="68"/>
        <v>64.74617710947733</v>
      </c>
      <c r="G161" s="306">
        <f t="shared" ca="1" si="69"/>
        <v>47.754935304332882</v>
      </c>
      <c r="H161" s="307">
        <f t="shared" ca="1" si="70"/>
        <v>248.18064027918496</v>
      </c>
      <c r="I161" s="304">
        <f t="shared" ca="1" si="71"/>
        <v>252.73338531999926</v>
      </c>
      <c r="J161" s="306">
        <f t="shared" ca="1" si="72"/>
        <v>52.771073150525311</v>
      </c>
      <c r="K161" s="307">
        <f t="shared" ca="1" si="73"/>
        <v>283.16341647152194</v>
      </c>
      <c r="L161" s="304">
        <f t="shared" ca="1" si="58"/>
        <v>288.03872411410703</v>
      </c>
      <c r="M161" s="306">
        <f t="shared" ca="1" si="74"/>
        <v>1.3806996745899416</v>
      </c>
      <c r="N161" s="304">
        <f t="shared" ca="1" si="75"/>
        <v>79.108264129089804</v>
      </c>
      <c r="P161" s="310">
        <f t="shared" ca="1" si="76"/>
        <v>5</v>
      </c>
      <c r="Q161" s="304">
        <f t="shared" ca="1" si="77"/>
        <v>649.50999999999976</v>
      </c>
      <c r="R161" s="306">
        <f t="shared" ca="1" si="78"/>
        <v>0.32595880721153131</v>
      </c>
      <c r="S161" s="307">
        <f t="shared" ca="1" si="79"/>
        <v>5.4326475240603003</v>
      </c>
      <c r="T161" s="304">
        <f t="shared" ca="1" si="59"/>
        <v>53.294272211031547</v>
      </c>
      <c r="U161" s="311">
        <f t="shared" ca="1" si="60"/>
        <v>0</v>
      </c>
      <c r="V161" s="306">
        <f t="shared" ca="1" si="61"/>
        <v>1.1907967371208061</v>
      </c>
      <c r="W161" s="304">
        <f t="shared" ca="1" si="62"/>
        <v>246.77734321893254</v>
      </c>
      <c r="Y161" s="314" t="str">
        <f t="shared" ca="1" si="80"/>
        <v/>
      </c>
      <c r="Z161" s="315" t="str">
        <f t="shared" ca="1" si="81"/>
        <v/>
      </c>
      <c r="AA161" s="316" t="str">
        <f t="shared" ca="1" si="82"/>
        <v/>
      </c>
      <c r="AC161" s="310" t="e">
        <f t="shared" ca="1" si="83"/>
        <v>#N/A</v>
      </c>
      <c r="AD161" s="323" t="e">
        <f t="shared" ca="1" si="84"/>
        <v>#N/A</v>
      </c>
      <c r="AE161" s="324">
        <f t="shared" ca="1" si="63"/>
        <v>283.16341647152194</v>
      </c>
      <c r="AG161" s="306">
        <f t="shared" ca="1" si="85"/>
        <v>64.719657744690224</v>
      </c>
      <c r="AH161" s="304">
        <f t="shared" ca="1" si="86"/>
        <v>74.353076052748648</v>
      </c>
    </row>
    <row r="162" spans="1:34" x14ac:dyDescent="0.2">
      <c r="A162" s="347">
        <f t="shared" ca="1" si="64"/>
        <v>0.01</v>
      </c>
      <c r="B162" s="304">
        <f t="shared" ca="1" si="65"/>
        <v>1.5800000000000012</v>
      </c>
      <c r="D162" s="306">
        <f t="shared" ca="1" si="66"/>
        <v>13.965090485733519</v>
      </c>
      <c r="E162" s="307">
        <f t="shared" ca="1" si="67"/>
        <v>62.766061012727079</v>
      </c>
      <c r="F162" s="304">
        <f t="shared" ca="1" si="68"/>
        <v>64.300872212809864</v>
      </c>
      <c r="G162" s="306">
        <f t="shared" ca="1" si="69"/>
        <v>47.894586209190216</v>
      </c>
      <c r="H162" s="307">
        <f t="shared" ca="1" si="70"/>
        <v>248.80830088931222</v>
      </c>
      <c r="I162" s="304">
        <f t="shared" ca="1" si="71"/>
        <v>253.37612748555472</v>
      </c>
      <c r="J162" s="306">
        <f t="shared" ca="1" si="72"/>
        <v>53.249320758092928</v>
      </c>
      <c r="K162" s="307">
        <f t="shared" ca="1" si="73"/>
        <v>285.64836117736445</v>
      </c>
      <c r="L162" s="304">
        <f t="shared" ca="1" si="58"/>
        <v>290.5692282477832</v>
      </c>
      <c r="M162" s="306">
        <f t="shared" ca="1" si="74"/>
        <v>1.3806265170724434</v>
      </c>
      <c r="N162" s="304">
        <f t="shared" ca="1" si="75"/>
        <v>79.104072512097503</v>
      </c>
      <c r="P162" s="310">
        <f t="shared" ca="1" si="76"/>
        <v>5</v>
      </c>
      <c r="Q162" s="304">
        <f t="shared" ca="1" si="77"/>
        <v>648.04999999999984</v>
      </c>
      <c r="R162" s="306">
        <f t="shared" ca="1" si="78"/>
        <v>0.32522610123544349</v>
      </c>
      <c r="S162" s="307">
        <f t="shared" ca="1" si="79"/>
        <v>5.4293952630479456</v>
      </c>
      <c r="T162" s="304">
        <f t="shared" ca="1" si="59"/>
        <v>53.262367530500349</v>
      </c>
      <c r="U162" s="311">
        <f t="shared" ca="1" si="60"/>
        <v>0</v>
      </c>
      <c r="V162" s="306">
        <f t="shared" ca="1" si="61"/>
        <v>1.1905008076436987</v>
      </c>
      <c r="W162" s="304">
        <f t="shared" ca="1" si="62"/>
        <v>247.97248934043486</v>
      </c>
      <c r="Y162" s="314" t="str">
        <f t="shared" ca="1" si="80"/>
        <v/>
      </c>
      <c r="Z162" s="315" t="str">
        <f t="shared" ca="1" si="81"/>
        <v/>
      </c>
      <c r="AA162" s="316" t="str">
        <f t="shared" ca="1" si="82"/>
        <v/>
      </c>
      <c r="AC162" s="310" t="e">
        <f t="shared" ca="1" si="83"/>
        <v>#N/A</v>
      </c>
      <c r="AD162" s="323" t="e">
        <f t="shared" ca="1" si="84"/>
        <v>#N/A</v>
      </c>
      <c r="AE162" s="324">
        <f t="shared" ca="1" si="63"/>
        <v>285.64836117736445</v>
      </c>
      <c r="AG162" s="306">
        <f t="shared" ca="1" si="85"/>
        <v>64.274148751810813</v>
      </c>
      <c r="AH162" s="304">
        <f t="shared" ca="1" si="86"/>
        <v>73.907431185218499</v>
      </c>
    </row>
    <row r="163" spans="1:34" x14ac:dyDescent="0.2">
      <c r="A163" s="347">
        <f t="shared" ca="1" si="64"/>
        <v>0.01</v>
      </c>
      <c r="B163" s="304">
        <f t="shared" ca="1" si="65"/>
        <v>1.5900000000000012</v>
      </c>
      <c r="D163" s="306">
        <f t="shared" ca="1" si="66"/>
        <v>13.886259675281796</v>
      </c>
      <c r="E163" s="307">
        <f t="shared" ca="1" si="67"/>
        <v>62.327937687238531</v>
      </c>
      <c r="F163" s="304">
        <f t="shared" ca="1" si="68"/>
        <v>63.856088387198021</v>
      </c>
      <c r="G163" s="306">
        <f t="shared" ca="1" si="69"/>
        <v>48.033448805943031</v>
      </c>
      <c r="H163" s="307">
        <f t="shared" ca="1" si="70"/>
        <v>249.4315802661846</v>
      </c>
      <c r="I163" s="304">
        <f t="shared" ca="1" si="71"/>
        <v>254.01441974478385</v>
      </c>
      <c r="J163" s="306">
        <f t="shared" ca="1" si="72"/>
        <v>53.728960933168594</v>
      </c>
      <c r="K163" s="307">
        <f t="shared" ca="1" si="73"/>
        <v>288.13956058314193</v>
      </c>
      <c r="L163" s="304">
        <f t="shared" ca="1" si="58"/>
        <v>293.1061371176047</v>
      </c>
      <c r="M163" s="306">
        <f t="shared" ca="1" si="74"/>
        <v>1.3805535156423694</v>
      </c>
      <c r="N163" s="304">
        <f t="shared" ca="1" si="75"/>
        <v>79.099889838255848</v>
      </c>
      <c r="P163" s="310">
        <f t="shared" ca="1" si="76"/>
        <v>5</v>
      </c>
      <c r="Q163" s="304">
        <f t="shared" ca="1" si="77"/>
        <v>646.5899999999998</v>
      </c>
      <c r="R163" s="306">
        <f t="shared" ca="1" si="78"/>
        <v>0.32449339525935555</v>
      </c>
      <c r="S163" s="307">
        <f t="shared" ca="1" si="79"/>
        <v>5.4261503290953517</v>
      </c>
      <c r="T163" s="304">
        <f t="shared" ca="1" si="59"/>
        <v>53.230534728425404</v>
      </c>
      <c r="U163" s="311">
        <f t="shared" ca="1" si="60"/>
        <v>0</v>
      </c>
      <c r="V163" s="306">
        <f t="shared" ca="1" si="61"/>
        <v>1.1902042060672611</v>
      </c>
      <c r="W163" s="304">
        <f t="shared" ca="1" si="62"/>
        <v>249.16133081278406</v>
      </c>
      <c r="Y163" s="314" t="str">
        <f t="shared" ca="1" si="80"/>
        <v/>
      </c>
      <c r="Z163" s="315" t="str">
        <f t="shared" ca="1" si="81"/>
        <v/>
      </c>
      <c r="AA163" s="316" t="str">
        <f t="shared" ca="1" si="82"/>
        <v/>
      </c>
      <c r="AC163" s="310" t="e">
        <f t="shared" ca="1" si="83"/>
        <v>#N/A</v>
      </c>
      <c r="AD163" s="323" t="e">
        <f t="shared" ca="1" si="84"/>
        <v>#N/A</v>
      </c>
      <c r="AE163" s="324">
        <f t="shared" ca="1" si="63"/>
        <v>288.13956058314193</v>
      </c>
      <c r="AG163" s="306">
        <f t="shared" ca="1" si="85"/>
        <v>63.829158238120769</v>
      </c>
      <c r="AH163" s="304">
        <f t="shared" ca="1" si="86"/>
        <v>73.46230503827978</v>
      </c>
    </row>
    <row r="164" spans="1:34" x14ac:dyDescent="0.2">
      <c r="A164" s="347">
        <f t="shared" ca="1" si="64"/>
        <v>0.01</v>
      </c>
      <c r="B164" s="304">
        <f t="shared" ca="1" si="65"/>
        <v>1.6000000000000012</v>
      </c>
      <c r="D164" s="306">
        <f t="shared" ca="1" si="66"/>
        <v>13.80745409956636</v>
      </c>
      <c r="E164" s="307">
        <f t="shared" ca="1" si="67"/>
        <v>61.890350091903642</v>
      </c>
      <c r="F164" s="304">
        <f t="shared" ca="1" si="68"/>
        <v>63.411838194536116</v>
      </c>
      <c r="G164" s="306">
        <f t="shared" ca="1" si="69"/>
        <v>48.171523346938692</v>
      </c>
      <c r="H164" s="307">
        <f t="shared" ca="1" si="70"/>
        <v>250.05048376710363</v>
      </c>
      <c r="I164" s="304">
        <f t="shared" ca="1" si="71"/>
        <v>254.64826740766804</v>
      </c>
      <c r="J164" s="306">
        <f t="shared" ca="1" si="72"/>
        <v>54.209985793933001</v>
      </c>
      <c r="K164" s="307">
        <f t="shared" ca="1" si="73"/>
        <v>290.6369709033084</v>
      </c>
      <c r="L164" s="304">
        <f t="shared" ca="1" si="58"/>
        <v>295.64940624941045</v>
      </c>
      <c r="M164" s="306">
        <f t="shared" ca="1" si="74"/>
        <v>1.3804806683052362</v>
      </c>
      <c r="N164" s="304">
        <f t="shared" ca="1" si="75"/>
        <v>79.095715993289346</v>
      </c>
      <c r="P164" s="310">
        <f t="shared" ca="1" si="76"/>
        <v>5</v>
      </c>
      <c r="Q164" s="304">
        <f t="shared" ca="1" si="77"/>
        <v>645.12999999999977</v>
      </c>
      <c r="R164" s="306">
        <f t="shared" ca="1" si="78"/>
        <v>0.32376068928326768</v>
      </c>
      <c r="S164" s="307">
        <f t="shared" ca="1" si="79"/>
        <v>5.4229127222025193</v>
      </c>
      <c r="T164" s="304">
        <f t="shared" ca="1" si="59"/>
        <v>53.19877380480672</v>
      </c>
      <c r="U164" s="311">
        <f t="shared" ca="1" si="60"/>
        <v>0</v>
      </c>
      <c r="V164" s="306">
        <f t="shared" ca="1" si="61"/>
        <v>1.1899069381245055</v>
      </c>
      <c r="W164" s="304">
        <f t="shared" ca="1" si="62"/>
        <v>250.34381551254441</v>
      </c>
      <c r="Y164" s="314" t="str">
        <f t="shared" ca="1" si="80"/>
        <v/>
      </c>
      <c r="Z164" s="315" t="str">
        <f t="shared" ca="1" si="81"/>
        <v/>
      </c>
      <c r="AA164" s="316" t="str">
        <f t="shared" ca="1" si="82"/>
        <v/>
      </c>
      <c r="AC164" s="310" t="e">
        <f t="shared" ca="1" si="83"/>
        <v>#N/A</v>
      </c>
      <c r="AD164" s="323" t="e">
        <f t="shared" ca="1" si="84"/>
        <v>#N/A</v>
      </c>
      <c r="AE164" s="324">
        <f t="shared" ca="1" si="63"/>
        <v>290.6369709033084</v>
      </c>
      <c r="AG164" s="306">
        <f t="shared" ca="1" si="85"/>
        <v>63.384698720882298</v>
      </c>
      <c r="AH164" s="304">
        <f t="shared" ca="1" si="86"/>
        <v>73.017710125785101</v>
      </c>
    </row>
    <row r="165" spans="1:34" x14ac:dyDescent="0.2">
      <c r="A165" s="347">
        <f t="shared" ca="1" si="64"/>
        <v>0.01</v>
      </c>
      <c r="B165" s="304">
        <f t="shared" ca="1" si="65"/>
        <v>1.6100000000000012</v>
      </c>
      <c r="D165" s="306">
        <f t="shared" ca="1" si="66"/>
        <v>13.7286765617106</v>
      </c>
      <c r="E165" s="307">
        <f t="shared" ca="1" si="67"/>
        <v>61.453310296704402</v>
      </c>
      <c r="F165" s="304">
        <f t="shared" ca="1" si="68"/>
        <v>62.968134056513833</v>
      </c>
      <c r="G165" s="306">
        <f t="shared" ca="1" si="69"/>
        <v>48.308810112555797</v>
      </c>
      <c r="H165" s="307">
        <f t="shared" ca="1" si="70"/>
        <v>250.66501687007067</v>
      </c>
      <c r="I165" s="304">
        <f t="shared" ca="1" si="71"/>
        <v>255.27767590794889</v>
      </c>
      <c r="J165" s="306">
        <f t="shared" ca="1" si="72"/>
        <v>54.692387461230474</v>
      </c>
      <c r="K165" s="307">
        <f t="shared" ca="1" si="73"/>
        <v>293.14054840649425</v>
      </c>
      <c r="L165" s="304">
        <f t="shared" ca="1" si="58"/>
        <v>298.19899122275643</v>
      </c>
      <c r="M165" s="306">
        <f t="shared" ca="1" si="74"/>
        <v>1.3804079730902581</v>
      </c>
      <c r="N165" s="304">
        <f t="shared" ca="1" si="75"/>
        <v>79.091550864280308</v>
      </c>
      <c r="P165" s="310">
        <f t="shared" ca="1" si="76"/>
        <v>5</v>
      </c>
      <c r="Q165" s="304">
        <f t="shared" ca="1" si="77"/>
        <v>643.66999999999985</v>
      </c>
      <c r="R165" s="306">
        <f t="shared" ca="1" si="78"/>
        <v>0.32302798330717986</v>
      </c>
      <c r="S165" s="307">
        <f t="shared" ca="1" si="79"/>
        <v>5.4196824423694476</v>
      </c>
      <c r="T165" s="304">
        <f t="shared" ca="1" si="59"/>
        <v>53.167084759644283</v>
      </c>
      <c r="U165" s="311">
        <f t="shared" ca="1" si="60"/>
        <v>0</v>
      </c>
      <c r="V165" s="306">
        <f t="shared" ca="1" si="61"/>
        <v>1.1896090095378411</v>
      </c>
      <c r="W165" s="304">
        <f t="shared" ca="1" si="62"/>
        <v>251.51989221776034</v>
      </c>
      <c r="Y165" s="314" t="str">
        <f t="shared" ca="1" si="80"/>
        <v/>
      </c>
      <c r="Z165" s="315" t="str">
        <f t="shared" ca="1" si="81"/>
        <v/>
      </c>
      <c r="AA165" s="316" t="str">
        <f t="shared" ca="1" si="82"/>
        <v/>
      </c>
      <c r="AC165" s="310" t="e">
        <f t="shared" ca="1" si="83"/>
        <v>#N/A</v>
      </c>
      <c r="AD165" s="323" t="e">
        <f t="shared" ca="1" si="84"/>
        <v>#N/A</v>
      </c>
      <c r="AE165" s="324">
        <f t="shared" ca="1" si="63"/>
        <v>293.14054840649425</v>
      </c>
      <c r="AG165" s="306">
        <f t="shared" ca="1" si="85"/>
        <v>62.940782576136407</v>
      </c>
      <c r="AH165" s="304">
        <f t="shared" ca="1" si="86"/>
        <v>72.573658820404233</v>
      </c>
    </row>
    <row r="166" spans="1:34" x14ac:dyDescent="0.2">
      <c r="A166" s="347">
        <f t="shared" ca="1" si="64"/>
        <v>0.01</v>
      </c>
      <c r="B166" s="304">
        <f t="shared" ca="1" si="65"/>
        <v>1.6200000000000012</v>
      </c>
      <c r="D166" s="306">
        <f t="shared" ca="1" si="66"/>
        <v>13.649929835967496</v>
      </c>
      <c r="E166" s="307">
        <f t="shared" ca="1" si="67"/>
        <v>61.016830233162494</v>
      </c>
      <c r="F166" s="304">
        <f t="shared" ca="1" si="68"/>
        <v>62.524988254532353</v>
      </c>
      <c r="G166" s="306">
        <f t="shared" ca="1" si="69"/>
        <v>48.44530941091547</v>
      </c>
      <c r="H166" s="307">
        <f t="shared" ca="1" si="70"/>
        <v>251.2751851724023</v>
      </c>
      <c r="I166" s="304">
        <f t="shared" ca="1" si="71"/>
        <v>255.90265080171483</v>
      </c>
      <c r="J166" s="306">
        <f t="shared" ca="1" si="72"/>
        <v>55.176158058847832</v>
      </c>
      <c r="K166" s="307">
        <f t="shared" ca="1" si="73"/>
        <v>295.65024941670663</v>
      </c>
      <c r="L166" s="304">
        <f t="shared" ca="1" si="58"/>
        <v>300.75484767214607</v>
      </c>
      <c r="M166" s="306">
        <f t="shared" ca="1" si="74"/>
        <v>1.3803354280499389</v>
      </c>
      <c r="N166" s="304">
        <f t="shared" ca="1" si="75"/>
        <v>79.087394339645414</v>
      </c>
      <c r="P166" s="310">
        <f t="shared" ca="1" si="76"/>
        <v>5</v>
      </c>
      <c r="Q166" s="304">
        <f t="shared" ca="1" si="77"/>
        <v>642.20999999999981</v>
      </c>
      <c r="R166" s="306">
        <f t="shared" ca="1" si="78"/>
        <v>0.32229527733109198</v>
      </c>
      <c r="S166" s="307">
        <f t="shared" ca="1" si="79"/>
        <v>5.4164594895961367</v>
      </c>
      <c r="T166" s="304">
        <f t="shared" ca="1" si="59"/>
        <v>53.135467592938106</v>
      </c>
      <c r="U166" s="311">
        <f t="shared" ca="1" si="60"/>
        <v>0</v>
      </c>
      <c r="V166" s="306">
        <f t="shared" ca="1" si="61"/>
        <v>1.1893104260189078</v>
      </c>
      <c r="W166" s="304">
        <f t="shared" ca="1" si="62"/>
        <v>252.68951060526587</v>
      </c>
      <c r="Y166" s="314" t="str">
        <f t="shared" ca="1" si="80"/>
        <v/>
      </c>
      <c r="Z166" s="315" t="str">
        <f t="shared" ca="1" si="81"/>
        <v/>
      </c>
      <c r="AA166" s="316" t="str">
        <f t="shared" ca="1" si="82"/>
        <v/>
      </c>
      <c r="AC166" s="310" t="e">
        <f t="shared" ca="1" si="83"/>
        <v>#N/A</v>
      </c>
      <c r="AD166" s="323" t="e">
        <f t="shared" ca="1" si="84"/>
        <v>#N/A</v>
      </c>
      <c r="AE166" s="324">
        <f t="shared" ca="1" si="63"/>
        <v>295.65024941670663</v>
      </c>
      <c r="AG166" s="306">
        <f t="shared" ca="1" si="85"/>
        <v>62.497422038589605</v>
      </c>
      <c r="AH166" s="304">
        <f t="shared" ca="1" si="86"/>
        <v>72.130163353510142</v>
      </c>
    </row>
    <row r="167" spans="1:34" x14ac:dyDescent="0.2">
      <c r="A167" s="347">
        <f t="shared" ca="1" si="64"/>
        <v>0.01</v>
      </c>
      <c r="B167" s="304">
        <f t="shared" ca="1" si="65"/>
        <v>1.6300000000000012</v>
      </c>
      <c r="D167" s="306">
        <f t="shared" ca="1" si="66"/>
        <v>13.57121666772499</v>
      </c>
      <c r="E167" s="307">
        <f t="shared" ca="1" si="67"/>
        <v>60.580921694248516</v>
      </c>
      <c r="F167" s="304">
        <f t="shared" ca="1" si="68"/>
        <v>62.082412929645436</v>
      </c>
      <c r="G167" s="306">
        <f t="shared" ca="1" si="69"/>
        <v>48.581021577592722</v>
      </c>
      <c r="H167" s="307">
        <f t="shared" ca="1" si="70"/>
        <v>251.88099438934478</v>
      </c>
      <c r="I167" s="304">
        <f t="shared" ca="1" si="71"/>
        <v>256.52319776598699</v>
      </c>
      <c r="J167" s="306">
        <f t="shared" ca="1" si="72"/>
        <v>55.661289713790374</v>
      </c>
      <c r="K167" s="307">
        <f t="shared" ca="1" si="73"/>
        <v>298.16603031451535</v>
      </c>
      <c r="L167" s="304">
        <f t="shared" ca="1" si="58"/>
        <v>303.31693128824674</v>
      </c>
      <c r="M167" s="306">
        <f t="shared" ca="1" si="74"/>
        <v>1.3802630312596713</v>
      </c>
      <c r="N167" s="304">
        <f t="shared" ca="1" si="75"/>
        <v>79.083246309112781</v>
      </c>
      <c r="P167" s="310">
        <f t="shared" ca="1" si="76"/>
        <v>5</v>
      </c>
      <c r="Q167" s="304">
        <f t="shared" ca="1" si="77"/>
        <v>640.74999999999977</v>
      </c>
      <c r="R167" s="306">
        <f t="shared" ca="1" si="78"/>
        <v>0.32156257135500405</v>
      </c>
      <c r="S167" s="307">
        <f t="shared" ca="1" si="79"/>
        <v>5.4132438638825864</v>
      </c>
      <c r="T167" s="304">
        <f t="shared" ca="1" si="59"/>
        <v>53.103922304688176</v>
      </c>
      <c r="U167" s="311">
        <f t="shared" ca="1" si="60"/>
        <v>0</v>
      </c>
      <c r="V167" s="306">
        <f t="shared" ca="1" si="61"/>
        <v>1.1890111932684178</v>
      </c>
      <c r="W167" s="304">
        <f t="shared" ca="1" si="62"/>
        <v>253.85262124788281</v>
      </c>
      <c r="Y167" s="314" t="str">
        <f t="shared" ca="1" si="80"/>
        <v/>
      </c>
      <c r="Z167" s="315" t="str">
        <f t="shared" ca="1" si="81"/>
        <v/>
      </c>
      <c r="AA167" s="316" t="str">
        <f t="shared" ca="1" si="82"/>
        <v/>
      </c>
      <c r="AC167" s="310" t="e">
        <f t="shared" ca="1" si="83"/>
        <v>#N/A</v>
      </c>
      <c r="AD167" s="323" t="e">
        <f t="shared" ca="1" si="84"/>
        <v>#N/A</v>
      </c>
      <c r="AE167" s="324">
        <f t="shared" ca="1" si="63"/>
        <v>298.16603031451535</v>
      </c>
      <c r="AG167" s="306">
        <f t="shared" ca="1" si="85"/>
        <v>62.054629201524456</v>
      </c>
      <c r="AH167" s="304">
        <f t="shared" ca="1" si="86"/>
        <v>71.687235815088883</v>
      </c>
    </row>
    <row r="168" spans="1:34" x14ac:dyDescent="0.2">
      <c r="A168" s="347">
        <f t="shared" ca="1" si="64"/>
        <v>0.01</v>
      </c>
      <c r="B168" s="304">
        <f t="shared" ca="1" si="65"/>
        <v>1.6400000000000012</v>
      </c>
      <c r="D168" s="306">
        <f t="shared" ca="1" si="66"/>
        <v>13.492539773514695</v>
      </c>
      <c r="E168" s="307">
        <f t="shared" ca="1" si="67"/>
        <v>60.14559633431378</v>
      </c>
      <c r="F168" s="304">
        <f t="shared" ca="1" si="68"/>
        <v>61.640420082524543</v>
      </c>
      <c r="G168" s="306">
        <f t="shared" ca="1" si="69"/>
        <v>48.715946975327867</v>
      </c>
      <c r="H168" s="307">
        <f t="shared" ca="1" si="70"/>
        <v>252.48245035268792</v>
      </c>
      <c r="I168" s="304">
        <f t="shared" ca="1" si="71"/>
        <v>257.13932259730421</v>
      </c>
      <c r="J168" s="306">
        <f t="shared" ca="1" si="72"/>
        <v>56.147774556554978</v>
      </c>
      <c r="K168" s="307">
        <f t="shared" ca="1" si="73"/>
        <v>300.68784753822553</v>
      </c>
      <c r="L168" s="304">
        <f t="shared" ca="1" si="58"/>
        <v>305.88519781909173</v>
      </c>
      <c r="M168" s="306">
        <f t="shared" ca="1" si="74"/>
        <v>1.380190780817347</v>
      </c>
      <c r="N168" s="304">
        <f t="shared" ca="1" si="75"/>
        <v>79.079106663699648</v>
      </c>
      <c r="P168" s="310">
        <f t="shared" ca="1" si="76"/>
        <v>5</v>
      </c>
      <c r="Q168" s="304">
        <f t="shared" ca="1" si="77"/>
        <v>639.28999999999985</v>
      </c>
      <c r="R168" s="306">
        <f t="shared" ca="1" si="78"/>
        <v>0.32082986537891622</v>
      </c>
      <c r="S168" s="307">
        <f t="shared" ca="1" si="79"/>
        <v>5.4100355652287968</v>
      </c>
      <c r="T168" s="304">
        <f t="shared" ca="1" si="59"/>
        <v>53.072448894894499</v>
      </c>
      <c r="U168" s="311">
        <f t="shared" ca="1" si="60"/>
        <v>0</v>
      </c>
      <c r="V168" s="306">
        <f t="shared" ca="1" si="61"/>
        <v>1.1887113169759917</v>
      </c>
      <c r="W168" s="304">
        <f t="shared" ca="1" si="62"/>
        <v>255.00917561150618</v>
      </c>
      <c r="Y168" s="314" t="str">
        <f t="shared" ca="1" si="80"/>
        <v/>
      </c>
      <c r="Z168" s="315" t="str">
        <f t="shared" ca="1" si="81"/>
        <v/>
      </c>
      <c r="AA168" s="316" t="str">
        <f t="shared" ca="1" si="82"/>
        <v/>
      </c>
      <c r="AC168" s="310" t="e">
        <f t="shared" ca="1" si="83"/>
        <v>#N/A</v>
      </c>
      <c r="AD168" s="323" t="e">
        <f t="shared" ca="1" si="84"/>
        <v>#N/A</v>
      </c>
      <c r="AE168" s="324">
        <f t="shared" ca="1" si="63"/>
        <v>300.68784753822553</v>
      </c>
      <c r="AG168" s="306">
        <f t="shared" ca="1" si="85"/>
        <v>61.612416016733263</v>
      </c>
      <c r="AH168" s="304">
        <f t="shared" ca="1" si="86"/>
        <v>71.24488815367269</v>
      </c>
    </row>
    <row r="169" spans="1:34" x14ac:dyDescent="0.2">
      <c r="A169" s="347">
        <f t="shared" ca="1" si="64"/>
        <v>0.01</v>
      </c>
      <c r="B169" s="304">
        <f t="shared" ca="1" si="65"/>
        <v>1.6500000000000012</v>
      </c>
      <c r="D169" s="306">
        <f t="shared" ca="1" si="66"/>
        <v>13.413901841023751</v>
      </c>
      <c r="E169" s="307">
        <f t="shared" ca="1" si="67"/>
        <v>59.710865669045418</v>
      </c>
      <c r="F169" s="304">
        <f t="shared" ca="1" si="68"/>
        <v>61.199021573448434</v>
      </c>
      <c r="G169" s="306">
        <f t="shared" ca="1" si="69"/>
        <v>48.850085993738105</v>
      </c>
      <c r="H169" s="307">
        <f t="shared" ca="1" si="70"/>
        <v>253.07955900937839</v>
      </c>
      <c r="I169" s="304">
        <f t="shared" ca="1" si="71"/>
        <v>257.75103121030776</v>
      </c>
      <c r="J169" s="306">
        <f t="shared" ca="1" si="72"/>
        <v>56.635604721400306</v>
      </c>
      <c r="K169" s="307">
        <f t="shared" ca="1" si="73"/>
        <v>303.21565758503584</v>
      </c>
      <c r="L169" s="304">
        <f t="shared" ca="1" si="58"/>
        <v>308.4596030712683</v>
      </c>
      <c r="M169" s="306">
        <f t="shared" ca="1" si="74"/>
        <v>1.380118674842971</v>
      </c>
      <c r="N169" s="304">
        <f t="shared" ca="1" si="75"/>
        <v>79.074975295690223</v>
      </c>
      <c r="P169" s="310">
        <f t="shared" ca="1" si="76"/>
        <v>5</v>
      </c>
      <c r="Q169" s="304">
        <f t="shared" ca="1" si="77"/>
        <v>637.82999999999981</v>
      </c>
      <c r="R169" s="306">
        <f t="shared" ca="1" si="78"/>
        <v>0.32009715940282835</v>
      </c>
      <c r="S169" s="307">
        <f t="shared" ca="1" si="79"/>
        <v>5.4068345936347688</v>
      </c>
      <c r="T169" s="304">
        <f t="shared" ca="1" si="59"/>
        <v>53.041047363557084</v>
      </c>
      <c r="U169" s="311">
        <f t="shared" ca="1" si="60"/>
        <v>0</v>
      </c>
      <c r="V169" s="306">
        <f t="shared" ca="1" si="61"/>
        <v>1.1884108028200053</v>
      </c>
      <c r="W169" s="304">
        <f t="shared" ca="1" si="62"/>
        <v>256.15912605208251</v>
      </c>
      <c r="Y169" s="314" t="str">
        <f t="shared" ca="1" si="80"/>
        <v/>
      </c>
      <c r="Z169" s="315" t="str">
        <f t="shared" ca="1" si="81"/>
        <v/>
      </c>
      <c r="AA169" s="316" t="str">
        <f t="shared" ca="1" si="82"/>
        <v/>
      </c>
      <c r="AC169" s="310" t="e">
        <f t="shared" ca="1" si="83"/>
        <v>#N/A</v>
      </c>
      <c r="AD169" s="323" t="e">
        <f t="shared" ca="1" si="84"/>
        <v>#N/A</v>
      </c>
      <c r="AE169" s="324">
        <f t="shared" ca="1" si="63"/>
        <v>303.21565758503584</v>
      </c>
      <c r="AG169" s="306">
        <f t="shared" ca="1" si="85"/>
        <v>61.170794294475009</v>
      </c>
      <c r="AH169" s="304">
        <f t="shared" ca="1" si="86"/>
        <v>70.803132176296259</v>
      </c>
    </row>
    <row r="170" spans="1:34" x14ac:dyDescent="0.2">
      <c r="A170" s="347">
        <f t="shared" ca="1" si="64"/>
        <v>0.01</v>
      </c>
      <c r="B170" s="304">
        <f t="shared" ca="1" si="65"/>
        <v>1.6600000000000013</v>
      </c>
      <c r="D170" s="306">
        <f t="shared" ca="1" si="66"/>
        <v>13.335305529110302</v>
      </c>
      <c r="E170" s="307">
        <f t="shared" ca="1" si="67"/>
        <v>59.276741075444008</v>
      </c>
      <c r="F170" s="304">
        <f t="shared" ca="1" si="68"/>
        <v>60.758229122316841</v>
      </c>
      <c r="G170" s="306">
        <f t="shared" ca="1" si="69"/>
        <v>48.983439049029208</v>
      </c>
      <c r="H170" s="307">
        <f t="shared" ca="1" si="70"/>
        <v>253.67232642013283</v>
      </c>
      <c r="I170" s="304">
        <f t="shared" ca="1" si="71"/>
        <v>258.35832963632583</v>
      </c>
      <c r="J170" s="306">
        <f t="shared" ca="1" si="72"/>
        <v>57.124772346614144</v>
      </c>
      <c r="K170" s="307">
        <f t="shared" ca="1" si="73"/>
        <v>305.74941701218341</v>
      </c>
      <c r="L170" s="304">
        <f t="shared" ca="1" si="58"/>
        <v>311.04010291109171</v>
      </c>
      <c r="M170" s="306">
        <f t="shared" ca="1" si="74"/>
        <v>1.3800467114782879</v>
      </c>
      <c r="N170" s="304">
        <f t="shared" ca="1" si="75"/>
        <v>79.070852098614324</v>
      </c>
      <c r="P170" s="310">
        <f t="shared" ca="1" si="76"/>
        <v>5</v>
      </c>
      <c r="Q170" s="304">
        <f t="shared" ca="1" si="77"/>
        <v>636.36999999999978</v>
      </c>
      <c r="R170" s="306">
        <f t="shared" ca="1" si="78"/>
        <v>0.31936445342674041</v>
      </c>
      <c r="S170" s="307">
        <f t="shared" ca="1" si="79"/>
        <v>5.4036409491005015</v>
      </c>
      <c r="T170" s="304">
        <f t="shared" ca="1" si="59"/>
        <v>53.009717710675922</v>
      </c>
      <c r="U170" s="311">
        <f t="shared" ca="1" si="60"/>
        <v>0</v>
      </c>
      <c r="V170" s="306">
        <f t="shared" ca="1" si="61"/>
        <v>1.1881096564674309</v>
      </c>
      <c r="W170" s="304">
        <f t="shared" ca="1" si="62"/>
        <v>257.30242581247984</v>
      </c>
      <c r="Y170" s="314" t="str">
        <f t="shared" ca="1" si="80"/>
        <v/>
      </c>
      <c r="Z170" s="315" t="str">
        <f t="shared" ca="1" si="81"/>
        <v/>
      </c>
      <c r="AA170" s="316" t="str">
        <f t="shared" ca="1" si="82"/>
        <v/>
      </c>
      <c r="AC170" s="310" t="e">
        <f t="shared" ca="1" si="83"/>
        <v>#N/A</v>
      </c>
      <c r="AD170" s="323" t="e">
        <f t="shared" ca="1" si="84"/>
        <v>#N/A</v>
      </c>
      <c r="AE170" s="324">
        <f t="shared" ca="1" si="63"/>
        <v>305.74941701218341</v>
      </c>
      <c r="AG170" s="306">
        <f t="shared" ca="1" si="85"/>
        <v>60.72977570345526</v>
      </c>
      <c r="AH170" s="304">
        <f t="shared" ca="1" si="86"/>
        <v>70.361979548476057</v>
      </c>
    </row>
    <row r="171" spans="1:34" x14ac:dyDescent="0.2">
      <c r="A171" s="347">
        <f t="shared" ca="1" si="64"/>
        <v>0.01</v>
      </c>
      <c r="B171" s="304">
        <f t="shared" ca="1" si="65"/>
        <v>1.6700000000000013</v>
      </c>
      <c r="D171" s="306">
        <f t="shared" ca="1" si="66"/>
        <v>13.256753467821886</v>
      </c>
      <c r="E171" s="307">
        <f t="shared" ca="1" si="67"/>
        <v>58.843233791823522</v>
      </c>
      <c r="F171" s="304">
        <f t="shared" ca="1" si="68"/>
        <v>60.318054308687785</v>
      </c>
      <c r="G171" s="306">
        <f t="shared" ca="1" si="69"/>
        <v>49.116006583707424</v>
      </c>
      <c r="H171" s="307">
        <f t="shared" ca="1" si="70"/>
        <v>254.26075875805108</v>
      </c>
      <c r="I171" s="304">
        <f t="shared" ca="1" si="71"/>
        <v>258.96122402195783</v>
      </c>
      <c r="J171" s="306">
        <f t="shared" ca="1" si="72"/>
        <v>57.615269574777827</v>
      </c>
      <c r="K171" s="307">
        <f t="shared" ca="1" si="73"/>
        <v>308.28908243807433</v>
      </c>
      <c r="L171" s="304">
        <f t="shared" ca="1" si="58"/>
        <v>313.62665326576456</v>
      </c>
      <c r="M171" s="306">
        <f t="shared" ca="1" si="74"/>
        <v>1.3799748888864134</v>
      </c>
      <c r="N171" s="304">
        <f t="shared" ca="1" si="75"/>
        <v>79.06673696722622</v>
      </c>
      <c r="P171" s="310">
        <f t="shared" ca="1" si="76"/>
        <v>5</v>
      </c>
      <c r="Q171" s="304">
        <f t="shared" ca="1" si="77"/>
        <v>634.90999999999985</v>
      </c>
      <c r="R171" s="306">
        <f t="shared" ca="1" si="78"/>
        <v>0.31863174745065259</v>
      </c>
      <c r="S171" s="307">
        <f t="shared" ca="1" si="79"/>
        <v>5.4004546316259949</v>
      </c>
      <c r="T171" s="304">
        <f t="shared" ca="1" si="59"/>
        <v>52.978459936251014</v>
      </c>
      <c r="U171" s="311">
        <f t="shared" ca="1" si="60"/>
        <v>0</v>
      </c>
      <c r="V171" s="306">
        <f t="shared" ca="1" si="61"/>
        <v>1.1878078835736861</v>
      </c>
      <c r="W171" s="304">
        <f t="shared" ca="1" si="62"/>
        <v>258.43902901925412</v>
      </c>
      <c r="Y171" s="314" t="str">
        <f t="shared" ca="1" si="80"/>
        <v/>
      </c>
      <c r="Z171" s="315" t="str">
        <f t="shared" ca="1" si="81"/>
        <v/>
      </c>
      <c r="AA171" s="316" t="str">
        <f t="shared" ca="1" si="82"/>
        <v/>
      </c>
      <c r="AC171" s="310" t="e">
        <f t="shared" ca="1" si="83"/>
        <v>#N/A</v>
      </c>
      <c r="AD171" s="323" t="e">
        <f t="shared" ca="1" si="84"/>
        <v>#N/A</v>
      </c>
      <c r="AE171" s="324">
        <f t="shared" ca="1" si="63"/>
        <v>308.28908243807433</v>
      </c>
      <c r="AG171" s="306">
        <f t="shared" ca="1" si="85"/>
        <v>60.28937177082851</v>
      </c>
      <c r="AH171" s="304">
        <f t="shared" ca="1" si="86"/>
        <v>69.921441794212072</v>
      </c>
    </row>
    <row r="172" spans="1:34" x14ac:dyDescent="0.2">
      <c r="A172" s="347">
        <f t="shared" ca="1" si="64"/>
        <v>0.01</v>
      </c>
      <c r="B172" s="304">
        <f t="shared" ca="1" si="65"/>
        <v>1.6800000000000013</v>
      </c>
      <c r="D172" s="306">
        <f t="shared" ca="1" si="66"/>
        <v>13.178248258417304</v>
      </c>
      <c r="E172" s="307">
        <f t="shared" ca="1" si="67"/>
        <v>58.410354917833146</v>
      </c>
      <c r="F172" s="304">
        <f t="shared" ca="1" si="68"/>
        <v>59.87850857183831</v>
      </c>
      <c r="G172" s="306">
        <f t="shared" ca="1" si="69"/>
        <v>49.247789066291595</v>
      </c>
      <c r="H172" s="307">
        <f t="shared" ca="1" si="70"/>
        <v>254.84486230722942</v>
      </c>
      <c r="I172" s="304">
        <f t="shared" ca="1" si="71"/>
        <v>259.55972062765954</v>
      </c>
      <c r="J172" s="306">
        <f t="shared" ca="1" si="72"/>
        <v>58.107088553027822</v>
      </c>
      <c r="K172" s="307">
        <f t="shared" ca="1" si="73"/>
        <v>310.83461054340074</v>
      </c>
      <c r="L172" s="304">
        <f t="shared" ca="1" si="58"/>
        <v>316.2192101245227</v>
      </c>
      <c r="M172" s="306">
        <f t="shared" ca="1" si="74"/>
        <v>1.3799032052514733</v>
      </c>
      <c r="N172" s="304">
        <f t="shared" ca="1" si="75"/>
        <v>79.062629797483993</v>
      </c>
      <c r="P172" s="310">
        <f t="shared" ca="1" si="76"/>
        <v>5</v>
      </c>
      <c r="Q172" s="304">
        <f t="shared" ca="1" si="77"/>
        <v>633.44999999999982</v>
      </c>
      <c r="R172" s="306">
        <f t="shared" ca="1" si="78"/>
        <v>0.31789904147456471</v>
      </c>
      <c r="S172" s="307">
        <f t="shared" ca="1" si="79"/>
        <v>5.397275641211249</v>
      </c>
      <c r="T172" s="304">
        <f t="shared" ca="1" si="59"/>
        <v>52.947274040282359</v>
      </c>
      <c r="U172" s="311">
        <f t="shared" ca="1" si="60"/>
        <v>0</v>
      </c>
      <c r="V172" s="306">
        <f t="shared" ca="1" si="61"/>
        <v>1.1875054897824826</v>
      </c>
      <c r="W172" s="304">
        <f t="shared" ca="1" si="62"/>
        <v>259.5688906793124</v>
      </c>
      <c r="Y172" s="314" t="str">
        <f t="shared" ca="1" si="80"/>
        <v/>
      </c>
      <c r="Z172" s="315" t="str">
        <f t="shared" ca="1" si="81"/>
        <v/>
      </c>
      <c r="AA172" s="316" t="str">
        <f t="shared" ca="1" si="82"/>
        <v/>
      </c>
      <c r="AC172" s="310" t="e">
        <f t="shared" ca="1" si="83"/>
        <v>#N/A</v>
      </c>
      <c r="AD172" s="323" t="e">
        <f t="shared" ca="1" si="84"/>
        <v>#N/A</v>
      </c>
      <c r="AE172" s="324">
        <f t="shared" ca="1" si="63"/>
        <v>310.83461054340074</v>
      </c>
      <c r="AG172" s="306">
        <f t="shared" ca="1" si="85"/>
        <v>59.849593882222699</v>
      </c>
      <c r="AH172" s="304">
        <f t="shared" ca="1" si="86"/>
        <v>69.481530296011755</v>
      </c>
    </row>
    <row r="173" spans="1:34" x14ac:dyDescent="0.2">
      <c r="A173" s="347">
        <f t="shared" ca="1" si="64"/>
        <v>0.01</v>
      </c>
      <c r="B173" s="304">
        <f t="shared" ca="1" si="65"/>
        <v>1.6900000000000013</v>
      </c>
      <c r="D173" s="306">
        <f t="shared" ca="1" si="66"/>
        <v>13.099792473391693</v>
      </c>
      <c r="E173" s="307">
        <f t="shared" ca="1" si="67"/>
        <v>57.978115414501204</v>
      </c>
      <c r="F173" s="304">
        <f t="shared" ca="1" si="68"/>
        <v>59.439603210848844</v>
      </c>
      <c r="G173" s="306">
        <f t="shared" ca="1" si="69"/>
        <v>49.378786991025514</v>
      </c>
      <c r="H173" s="307">
        <f t="shared" ca="1" si="70"/>
        <v>255.42464346137444</v>
      </c>
      <c r="I173" s="304">
        <f t="shared" ca="1" si="71"/>
        <v>260.15382582632787</v>
      </c>
      <c r="J173" s="306">
        <f t="shared" ca="1" si="72"/>
        <v>58.60022143331441</v>
      </c>
      <c r="K173" s="307">
        <f t="shared" ca="1" si="73"/>
        <v>313.38595807224374</v>
      </c>
      <c r="L173" s="304">
        <f t="shared" ca="1" si="58"/>
        <v>318.81772953976633</v>
      </c>
      <c r="M173" s="306">
        <f t="shared" ca="1" si="74"/>
        <v>1.3798316587782522</v>
      </c>
      <c r="N173" s="304">
        <f t="shared" ca="1" si="75"/>
        <v>79.058530486529378</v>
      </c>
      <c r="P173" s="310">
        <f t="shared" ca="1" si="76"/>
        <v>5</v>
      </c>
      <c r="Q173" s="304">
        <f t="shared" ca="1" si="77"/>
        <v>631.98999999999978</v>
      </c>
      <c r="R173" s="306">
        <f t="shared" ca="1" si="78"/>
        <v>0.31716633549847684</v>
      </c>
      <c r="S173" s="307">
        <f t="shared" ca="1" si="79"/>
        <v>5.3941039778562638</v>
      </c>
      <c r="T173" s="304">
        <f t="shared" ca="1" si="59"/>
        <v>52.916160022769951</v>
      </c>
      <c r="U173" s="311">
        <f t="shared" ca="1" si="60"/>
        <v>0</v>
      </c>
      <c r="V173" s="306">
        <f t="shared" ca="1" si="61"/>
        <v>1.1872024807256774</v>
      </c>
      <c r="W173" s="304">
        <f t="shared" ca="1" si="62"/>
        <v>260.6919666764752</v>
      </c>
      <c r="Y173" s="314" t="str">
        <f t="shared" ca="1" si="80"/>
        <v/>
      </c>
      <c r="Z173" s="315" t="str">
        <f t="shared" ca="1" si="81"/>
        <v/>
      </c>
      <c r="AA173" s="316" t="str">
        <f t="shared" ca="1" si="82"/>
        <v/>
      </c>
      <c r="AC173" s="310" t="e">
        <f t="shared" ca="1" si="83"/>
        <v>#N/A</v>
      </c>
      <c r="AD173" s="323" t="e">
        <f t="shared" ca="1" si="84"/>
        <v>#N/A</v>
      </c>
      <c r="AE173" s="324">
        <f t="shared" ca="1" si="63"/>
        <v>313.38595807224374</v>
      </c>
      <c r="AG173" s="306">
        <f t="shared" ca="1" si="85"/>
        <v>59.410453281786047</v>
      </c>
      <c r="AH173" s="304">
        <f t="shared" ca="1" si="86"/>
        <v>69.042256294936266</v>
      </c>
    </row>
    <row r="174" spans="1:34" x14ac:dyDescent="0.2">
      <c r="A174" s="347">
        <f t="shared" ca="1" si="64"/>
        <v>0.01</v>
      </c>
      <c r="B174" s="304">
        <f t="shared" ca="1" si="65"/>
        <v>1.7000000000000013</v>
      </c>
      <c r="D174" s="306">
        <f t="shared" ca="1" si="66"/>
        <v>13.02138865650468</v>
      </c>
      <c r="E174" s="307">
        <f t="shared" ca="1" si="67"/>
        <v>57.546526104300327</v>
      </c>
      <c r="F174" s="304">
        <f t="shared" ca="1" si="68"/>
        <v>59.001349384710416</v>
      </c>
      <c r="G174" s="306">
        <f t="shared" ca="1" si="69"/>
        <v>49.509000877590559</v>
      </c>
      <c r="H174" s="307">
        <f t="shared" ca="1" si="70"/>
        <v>256.00010872241745</v>
      </c>
      <c r="I174" s="304">
        <f t="shared" ca="1" si="71"/>
        <v>260.74354610188692</v>
      </c>
      <c r="J174" s="306">
        <f t="shared" ca="1" si="72"/>
        <v>59.094660372657486</v>
      </c>
      <c r="K174" s="307">
        <f t="shared" ca="1" si="73"/>
        <v>315.94308183316269</v>
      </c>
      <c r="L174" s="304">
        <f t="shared" ca="1" si="58"/>
        <v>321.42216762817759</v>
      </c>
      <c r="M174" s="306">
        <f t="shared" ca="1" si="74"/>
        <v>1.3797602476918458</v>
      </c>
      <c r="N174" s="304">
        <f t="shared" ca="1" si="75"/>
        <v>79.05443893266785</v>
      </c>
      <c r="P174" s="310">
        <f t="shared" ca="1" si="76"/>
        <v>5</v>
      </c>
      <c r="Q174" s="304">
        <f t="shared" ca="1" si="77"/>
        <v>630.52999999999975</v>
      </c>
      <c r="R174" s="306">
        <f t="shared" ca="1" si="78"/>
        <v>0.3164336295223889</v>
      </c>
      <c r="S174" s="307">
        <f t="shared" ca="1" si="79"/>
        <v>5.3909396415610402</v>
      </c>
      <c r="T174" s="304">
        <f t="shared" ca="1" si="59"/>
        <v>52.885117883713811</v>
      </c>
      <c r="U174" s="311">
        <f t="shared" ca="1" si="60"/>
        <v>0</v>
      </c>
      <c r="V174" s="306">
        <f t="shared" ca="1" si="61"/>
        <v>1.1868988620231258</v>
      </c>
      <c r="W174" s="304">
        <f t="shared" ca="1" si="62"/>
        <v>261.80821376793944</v>
      </c>
      <c r="Y174" s="314" t="str">
        <f t="shared" ca="1" si="80"/>
        <v/>
      </c>
      <c r="Z174" s="315" t="str">
        <f t="shared" ca="1" si="81"/>
        <v/>
      </c>
      <c r="AA174" s="316" t="str">
        <f t="shared" ca="1" si="82"/>
        <v/>
      </c>
      <c r="AC174" s="310" t="e">
        <f t="shared" ca="1" si="83"/>
        <v>#N/A</v>
      </c>
      <c r="AD174" s="323" t="e">
        <f t="shared" ca="1" si="84"/>
        <v>#N/A</v>
      </c>
      <c r="AE174" s="324">
        <f t="shared" ca="1" si="63"/>
        <v>315.94308183316269</v>
      </c>
      <c r="AG174" s="306">
        <f t="shared" ca="1" si="85"/>
        <v>58.97196107225529</v>
      </c>
      <c r="AH174" s="304">
        <f t="shared" ca="1" si="86"/>
        <v>68.603630890668171</v>
      </c>
    </row>
    <row r="175" spans="1:34" x14ac:dyDescent="0.2">
      <c r="A175" s="347">
        <f t="shared" ca="1" si="64"/>
        <v>0.01</v>
      </c>
      <c r="B175" s="304">
        <f t="shared" ca="1" si="65"/>
        <v>1.7100000000000013</v>
      </c>
      <c r="D175" s="306">
        <f t="shared" ca="1" si="66"/>
        <v>12.943039322812005</v>
      </c>
      <c r="E175" s="307">
        <f t="shared" ca="1" si="67"/>
        <v>57.115597671233999</v>
      </c>
      <c r="F175" s="304">
        <f t="shared" ca="1" si="68"/>
        <v>58.563758112454913</v>
      </c>
      <c r="G175" s="306">
        <f t="shared" ca="1" si="69"/>
        <v>49.638431270818678</v>
      </c>
      <c r="H175" s="307">
        <f t="shared" ca="1" si="70"/>
        <v>256.57126469912981</v>
      </c>
      <c r="I175" s="304">
        <f t="shared" ca="1" si="71"/>
        <v>261.3288880478749</v>
      </c>
      <c r="J175" s="306">
        <f t="shared" ca="1" si="72"/>
        <v>59.590397533399532</v>
      </c>
      <c r="K175" s="307">
        <f t="shared" ca="1" si="73"/>
        <v>318.50593870027041</v>
      </c>
      <c r="L175" s="304">
        <f t="shared" ca="1" si="58"/>
        <v>324.03248057182321</v>
      </c>
      <c r="M175" s="306">
        <f t="shared" ca="1" si="74"/>
        <v>1.3796889702373241</v>
      </c>
      <c r="N175" s="304">
        <f t="shared" ca="1" si="75"/>
        <v>79.050355035349313</v>
      </c>
      <c r="P175" s="310">
        <f t="shared" ca="1" si="76"/>
        <v>5</v>
      </c>
      <c r="Q175" s="304">
        <f t="shared" ca="1" si="77"/>
        <v>629.06999999999982</v>
      </c>
      <c r="R175" s="306">
        <f t="shared" ca="1" si="78"/>
        <v>0.31570092354630108</v>
      </c>
      <c r="S175" s="307">
        <f t="shared" ca="1" si="79"/>
        <v>5.3877826323255773</v>
      </c>
      <c r="T175" s="304">
        <f t="shared" ca="1" si="59"/>
        <v>52.854147623113917</v>
      </c>
      <c r="U175" s="311">
        <f t="shared" ca="1" si="60"/>
        <v>0</v>
      </c>
      <c r="V175" s="306">
        <f t="shared" ca="1" si="61"/>
        <v>1.1865946392825391</v>
      </c>
      <c r="W175" s="304">
        <f t="shared" ca="1" si="62"/>
        <v>262.91758958064696</v>
      </c>
      <c r="Y175" s="314" t="str">
        <f t="shared" ca="1" si="80"/>
        <v/>
      </c>
      <c r="Z175" s="315" t="str">
        <f t="shared" ca="1" si="81"/>
        <v/>
      </c>
      <c r="AA175" s="316" t="str">
        <f t="shared" ca="1" si="82"/>
        <v/>
      </c>
      <c r="AC175" s="310" t="e">
        <f t="shared" ca="1" si="83"/>
        <v>#N/A</v>
      </c>
      <c r="AD175" s="323" t="e">
        <f t="shared" ca="1" si="84"/>
        <v>#N/A</v>
      </c>
      <c r="AE175" s="324">
        <f t="shared" ca="1" si="63"/>
        <v>318.50593870027041</v>
      </c>
      <c r="AG175" s="306">
        <f t="shared" ca="1" si="85"/>
        <v>58.534128215045769</v>
      </c>
      <c r="AH175" s="304">
        <f t="shared" ca="1" si="86"/>
        <v>68.16566504160096</v>
      </c>
    </row>
    <row r="176" spans="1:34" x14ac:dyDescent="0.2">
      <c r="A176" s="347">
        <f t="shared" ca="1" si="64"/>
        <v>0.01</v>
      </c>
      <c r="B176" s="304">
        <f t="shared" ca="1" si="65"/>
        <v>1.7200000000000013</v>
      </c>
      <c r="D176" s="306">
        <f t="shared" ca="1" si="66"/>
        <v>12.864746958699932</v>
      </c>
      <c r="E176" s="307">
        <f t="shared" ca="1" si="67"/>
        <v>56.685340660943623</v>
      </c>
      <c r="F176" s="304">
        <f t="shared" ca="1" si="68"/>
        <v>58.126840273307543</v>
      </c>
      <c r="G176" s="306">
        <f t="shared" ca="1" si="69"/>
        <v>49.76707874040568</v>
      </c>
      <c r="H176" s="307">
        <f t="shared" ca="1" si="70"/>
        <v>257.13811810573924</v>
      </c>
      <c r="I176" s="304">
        <f t="shared" ca="1" si="71"/>
        <v>261.90985836603181</v>
      </c>
      <c r="J176" s="306">
        <f t="shared" ca="1" si="72"/>
        <v>60.087425083455656</v>
      </c>
      <c r="K176" s="307">
        <f t="shared" ca="1" si="73"/>
        <v>321.07448561429476</v>
      </c>
      <c r="L176" s="304">
        <f t="shared" ca="1" si="58"/>
        <v>326.64862461924412</v>
      </c>
      <c r="M176" s="306">
        <f t="shared" ca="1" si="74"/>
        <v>1.3796178246793973</v>
      </c>
      <c r="N176" s="304">
        <f t="shared" ca="1" si="75"/>
        <v>79.046278695149013</v>
      </c>
      <c r="P176" s="310">
        <f t="shared" ca="1" si="76"/>
        <v>5</v>
      </c>
      <c r="Q176" s="304">
        <f t="shared" ca="1" si="77"/>
        <v>627.60999999999979</v>
      </c>
      <c r="R176" s="306">
        <f t="shared" ca="1" si="78"/>
        <v>0.3149682175702132</v>
      </c>
      <c r="S176" s="307">
        <f t="shared" ca="1" si="79"/>
        <v>5.3846329501498751</v>
      </c>
      <c r="T176" s="304">
        <f t="shared" ca="1" si="59"/>
        <v>52.823249240970277</v>
      </c>
      <c r="U176" s="311">
        <f t="shared" ca="1" si="60"/>
        <v>0</v>
      </c>
      <c r="V176" s="306">
        <f t="shared" ca="1" si="61"/>
        <v>1.1862898180993384</v>
      </c>
      <c r="W176" s="304">
        <f t="shared" ca="1" si="62"/>
        <v>264.0200526075551</v>
      </c>
      <c r="Y176" s="314" t="str">
        <f t="shared" ca="1" si="80"/>
        <v/>
      </c>
      <c r="Z176" s="315" t="str">
        <f t="shared" ca="1" si="81"/>
        <v/>
      </c>
      <c r="AA176" s="316" t="str">
        <f t="shared" ca="1" si="82"/>
        <v/>
      </c>
      <c r="AC176" s="310" t="e">
        <f t="shared" ca="1" si="83"/>
        <v>#N/A</v>
      </c>
      <c r="AD176" s="323" t="e">
        <f t="shared" ca="1" si="84"/>
        <v>#N/A</v>
      </c>
      <c r="AE176" s="324">
        <f t="shared" ca="1" si="63"/>
        <v>321.07448561429476</v>
      </c>
      <c r="AG176" s="306">
        <f t="shared" ca="1" si="85"/>
        <v>58.096965530361985</v>
      </c>
      <c r="AH176" s="304">
        <f t="shared" ca="1" si="86"/>
        <v>67.728369564949091</v>
      </c>
    </row>
    <row r="177" spans="1:34" x14ac:dyDescent="0.2">
      <c r="A177" s="347">
        <f t="shared" ca="1" si="64"/>
        <v>0.01</v>
      </c>
      <c r="B177" s="304">
        <f t="shared" ca="1" si="65"/>
        <v>1.7300000000000013</v>
      </c>
      <c r="D177" s="306">
        <f t="shared" ca="1" si="66"/>
        <v>12.786514021923226</v>
      </c>
      <c r="E177" s="307">
        <f t="shared" ca="1" si="67"/>
        <v>56.255765480836885</v>
      </c>
      <c r="F177" s="304">
        <f t="shared" ca="1" si="68"/>
        <v>57.690606606862424</v>
      </c>
      <c r="G177" s="306">
        <f t="shared" ca="1" si="69"/>
        <v>49.894943880624915</v>
      </c>
      <c r="H177" s="307">
        <f t="shared" ca="1" si="70"/>
        <v>257.7006757605476</v>
      </c>
      <c r="I177" s="304">
        <f t="shared" ca="1" si="71"/>
        <v>262.48646386488883</v>
      </c>
      <c r="J177" s="306">
        <f t="shared" ca="1" si="72"/>
        <v>60.585735196560812</v>
      </c>
      <c r="K177" s="307">
        <f t="shared" ca="1" si="73"/>
        <v>323.64867958362618</v>
      </c>
      <c r="L177" s="304">
        <f t="shared" ca="1" si="58"/>
        <v>329.27055608652972</v>
      </c>
      <c r="M177" s="306">
        <f t="shared" ca="1" si="74"/>
        <v>1.3795468093020919</v>
      </c>
      <c r="N177" s="304">
        <f t="shared" ca="1" si="75"/>
        <v>79.042209813748883</v>
      </c>
      <c r="P177" s="310">
        <f t="shared" ca="1" si="76"/>
        <v>5</v>
      </c>
      <c r="Q177" s="304">
        <f t="shared" ca="1" si="77"/>
        <v>626.14999999999975</v>
      </c>
      <c r="R177" s="306">
        <f t="shared" ca="1" si="78"/>
        <v>0.31423551159412527</v>
      </c>
      <c r="S177" s="307">
        <f t="shared" ca="1" si="79"/>
        <v>5.3814905950339336</v>
      </c>
      <c r="T177" s="304">
        <f t="shared" ca="1" si="59"/>
        <v>52.792422737282891</v>
      </c>
      <c r="U177" s="311">
        <f t="shared" ca="1" si="60"/>
        <v>0</v>
      </c>
      <c r="V177" s="306">
        <f t="shared" ca="1" si="61"/>
        <v>1.1859844040565199</v>
      </c>
      <c r="W177" s="304">
        <f t="shared" ca="1" si="62"/>
        <v>265.11556220381777</v>
      </c>
      <c r="Y177" s="314" t="str">
        <f t="shared" ca="1" si="80"/>
        <v/>
      </c>
      <c r="Z177" s="315" t="str">
        <f t="shared" ca="1" si="81"/>
        <v/>
      </c>
      <c r="AA177" s="316" t="str">
        <f t="shared" ca="1" si="82"/>
        <v/>
      </c>
      <c r="AC177" s="310" t="e">
        <f t="shared" ca="1" si="83"/>
        <v>#N/A</v>
      </c>
      <c r="AD177" s="323" t="e">
        <f t="shared" ca="1" si="84"/>
        <v>#N/A</v>
      </c>
      <c r="AE177" s="324">
        <f t="shared" ca="1" si="63"/>
        <v>323.64867958362618</v>
      </c>
      <c r="AG177" s="306">
        <f t="shared" ca="1" si="85"/>
        <v>57.660483697329902</v>
      </c>
      <c r="AH177" s="304">
        <f t="shared" ca="1" si="86"/>
        <v>67.291755136879729</v>
      </c>
    </row>
    <row r="178" spans="1:34" x14ac:dyDescent="0.2">
      <c r="A178" s="347">
        <f t="shared" ca="1" si="64"/>
        <v>0.01</v>
      </c>
      <c r="B178" s="304">
        <f t="shared" ca="1" si="65"/>
        <v>1.7400000000000013</v>
      </c>
      <c r="D178" s="306">
        <f t="shared" ca="1" si="66"/>
        <v>12.708342941645919</v>
      </c>
      <c r="E178" s="307">
        <f t="shared" ca="1" si="67"/>
        <v>55.826882400235704</v>
      </c>
      <c r="F178" s="304">
        <f t="shared" ca="1" si="68"/>
        <v>57.255067713279573</v>
      </c>
      <c r="G178" s="306">
        <f t="shared" ca="1" si="69"/>
        <v>50.022027310041373</v>
      </c>
      <c r="H178" s="307">
        <f t="shared" ca="1" si="70"/>
        <v>258.25894458454997</v>
      </c>
      <c r="I178" s="304">
        <f t="shared" ca="1" si="71"/>
        <v>263.05871145835903</v>
      </c>
      <c r="J178" s="306">
        <f t="shared" ca="1" si="72"/>
        <v>61.085320052514142</v>
      </c>
      <c r="K178" s="307">
        <f t="shared" ca="1" si="73"/>
        <v>326.22847768535166</v>
      </c>
      <c r="L178" s="304">
        <f t="shared" ca="1" si="58"/>
        <v>331.89823135837901</v>
      </c>
      <c r="M178" s="306">
        <f t="shared" ca="1" si="74"/>
        <v>1.3794759224084316</v>
      </c>
      <c r="N178" s="304">
        <f t="shared" ca="1" si="75"/>
        <v>79.038148293919363</v>
      </c>
      <c r="P178" s="310">
        <f t="shared" ca="1" si="76"/>
        <v>5</v>
      </c>
      <c r="Q178" s="304">
        <f t="shared" ca="1" si="77"/>
        <v>624.68999999999983</v>
      </c>
      <c r="R178" s="306">
        <f t="shared" ca="1" si="78"/>
        <v>0.31350280561803745</v>
      </c>
      <c r="S178" s="307">
        <f t="shared" ca="1" si="79"/>
        <v>5.3783555669777536</v>
      </c>
      <c r="T178" s="304">
        <f t="shared" ca="1" si="59"/>
        <v>52.761668112051765</v>
      </c>
      <c r="U178" s="311">
        <f t="shared" ca="1" si="60"/>
        <v>0</v>
      </c>
      <c r="V178" s="306">
        <f t="shared" ca="1" si="61"/>
        <v>1.1856784027245113</v>
      </c>
      <c r="W178" s="304">
        <f t="shared" ca="1" si="62"/>
        <v>266.20407858287319</v>
      </c>
      <c r="Y178" s="314" t="str">
        <f t="shared" ca="1" si="80"/>
        <v/>
      </c>
      <c r="Z178" s="315" t="str">
        <f t="shared" ca="1" si="81"/>
        <v/>
      </c>
      <c r="AA178" s="316" t="str">
        <f t="shared" ca="1" si="82"/>
        <v/>
      </c>
      <c r="AC178" s="310" t="e">
        <f t="shared" ca="1" si="83"/>
        <v>#N/A</v>
      </c>
      <c r="AD178" s="323" t="e">
        <f t="shared" ca="1" si="84"/>
        <v>#N/A</v>
      </c>
      <c r="AE178" s="324">
        <f t="shared" ca="1" si="63"/>
        <v>326.22847768535166</v>
      </c>
      <c r="AG178" s="306">
        <f t="shared" ca="1" si="85"/>
        <v>57.224693254148967</v>
      </c>
      <c r="AH178" s="304">
        <f t="shared" ca="1" si="86"/>
        <v>66.855832292664289</v>
      </c>
    </row>
    <row r="179" spans="1:34" x14ac:dyDescent="0.2">
      <c r="A179" s="347">
        <f t="shared" ca="1" si="64"/>
        <v>0.01</v>
      </c>
      <c r="B179" s="304">
        <f t="shared" ca="1" si="65"/>
        <v>1.7500000000000013</v>
      </c>
      <c r="D179" s="306">
        <f t="shared" ca="1" si="66"/>
        <v>12.630236118485326</v>
      </c>
      <c r="E179" s="307">
        <f t="shared" ca="1" si="67"/>
        <v>55.398701550544686</v>
      </c>
      <c r="F179" s="304">
        <f t="shared" ca="1" si="68"/>
        <v>56.820234053504336</v>
      </c>
      <c r="G179" s="306">
        <f t="shared" ca="1" si="69"/>
        <v>50.148329671226229</v>
      </c>
      <c r="H179" s="307">
        <f t="shared" ca="1" si="70"/>
        <v>258.81293160005544</v>
      </c>
      <c r="I179" s="304">
        <f t="shared" ca="1" si="71"/>
        <v>263.62660816432958</v>
      </c>
      <c r="J179" s="306">
        <f t="shared" ca="1" si="72"/>
        <v>61.58617183742048</v>
      </c>
      <c r="K179" s="307">
        <f t="shared" ca="1" si="73"/>
        <v>328.81383706627469</v>
      </c>
      <c r="L179" s="304">
        <f t="shared" ca="1" si="58"/>
        <v>334.53160688914721</v>
      </c>
      <c r="M179" s="306">
        <f t="shared" ca="1" si="74"/>
        <v>1.379405162320124</v>
      </c>
      <c r="N179" s="304">
        <f t="shared" ca="1" si="75"/>
        <v>79.034094039501355</v>
      </c>
      <c r="P179" s="310">
        <f t="shared" ca="1" si="76"/>
        <v>5</v>
      </c>
      <c r="Q179" s="304">
        <f t="shared" ca="1" si="77"/>
        <v>623.22999999999979</v>
      </c>
      <c r="R179" s="306">
        <f t="shared" ca="1" si="78"/>
        <v>0.31277009964194957</v>
      </c>
      <c r="S179" s="307">
        <f t="shared" ca="1" si="79"/>
        <v>5.3752278659813344</v>
      </c>
      <c r="T179" s="304">
        <f t="shared" ca="1" si="59"/>
        <v>52.730985365276894</v>
      </c>
      <c r="U179" s="311">
        <f t="shared" ca="1" si="60"/>
        <v>0</v>
      </c>
      <c r="V179" s="306">
        <f t="shared" ca="1" si="61"/>
        <v>1.1853718196610419</v>
      </c>
      <c r="W179" s="304">
        <f t="shared" ca="1" si="62"/>
        <v>267.28556281244494</v>
      </c>
      <c r="Y179" s="314" t="str">
        <f t="shared" ca="1" si="80"/>
        <v/>
      </c>
      <c r="Z179" s="315" t="str">
        <f t="shared" ca="1" si="81"/>
        <v/>
      </c>
      <c r="AA179" s="316" t="str">
        <f t="shared" ca="1" si="82"/>
        <v/>
      </c>
      <c r="AC179" s="310" t="e">
        <f t="shared" ca="1" si="83"/>
        <v>#N/A</v>
      </c>
      <c r="AD179" s="323" t="e">
        <f t="shared" ca="1" si="84"/>
        <v>#N/A</v>
      </c>
      <c r="AE179" s="324">
        <f t="shared" ca="1" si="63"/>
        <v>328.81383706627469</v>
      </c>
      <c r="AG179" s="306">
        <f t="shared" ca="1" si="85"/>
        <v>56.789604598264987</v>
      </c>
      <c r="AH179" s="304">
        <f t="shared" ca="1" si="86"/>
        <v>66.420611426850783</v>
      </c>
    </row>
    <row r="180" spans="1:34" x14ac:dyDescent="0.2">
      <c r="A180" s="347">
        <f t="shared" ca="1" si="64"/>
        <v>0.01</v>
      </c>
      <c r="B180" s="304">
        <f t="shared" ca="1" si="65"/>
        <v>1.7600000000000013</v>
      </c>
      <c r="D180" s="306">
        <f t="shared" ca="1" si="66"/>
        <v>12.55219592455915</v>
      </c>
      <c r="E180" s="307">
        <f t="shared" ca="1" si="67"/>
        <v>54.971232925439267</v>
      </c>
      <c r="F180" s="304">
        <f t="shared" ca="1" si="68"/>
        <v>56.386115949508508</v>
      </c>
      <c r="G180" s="306">
        <f t="shared" ca="1" si="69"/>
        <v>50.273851630471817</v>
      </c>
      <c r="H180" s="307">
        <f t="shared" ca="1" si="70"/>
        <v>259.36264392930985</v>
      </c>
      <c r="I180" s="304">
        <f t="shared" ca="1" si="71"/>
        <v>264.19016110325657</v>
      </c>
      <c r="J180" s="306">
        <f t="shared" ca="1" si="72"/>
        <v>62.088282743928971</v>
      </c>
      <c r="K180" s="307">
        <f t="shared" ca="1" si="73"/>
        <v>331.40471494392153</v>
      </c>
      <c r="L180" s="304">
        <f t="shared" ca="1" si="58"/>
        <v>337.17063920387841</v>
      </c>
      <c r="M180" s="306">
        <f t="shared" ca="1" si="74"/>
        <v>1.3793345273772548</v>
      </c>
      <c r="N180" s="304">
        <f t="shared" ca="1" si="75"/>
        <v>79.030046955388798</v>
      </c>
      <c r="P180" s="310">
        <f t="shared" ca="1" si="76"/>
        <v>5</v>
      </c>
      <c r="Q180" s="304">
        <f t="shared" ca="1" si="77"/>
        <v>621.76999999999975</v>
      </c>
      <c r="R180" s="306">
        <f t="shared" ca="1" si="78"/>
        <v>0.3120373936658617</v>
      </c>
      <c r="S180" s="307">
        <f t="shared" ca="1" si="79"/>
        <v>5.3721074920446759</v>
      </c>
      <c r="T180" s="304">
        <f t="shared" ca="1" si="59"/>
        <v>52.700374496958275</v>
      </c>
      <c r="U180" s="311">
        <f t="shared" ca="1" si="60"/>
        <v>0</v>
      </c>
      <c r="V180" s="306">
        <f t="shared" ca="1" si="61"/>
        <v>1.1850646604110038</v>
      </c>
      <c r="W180" s="304">
        <f t="shared" ca="1" si="62"/>
        <v>268.35997681045512</v>
      </c>
      <c r="Y180" s="314" t="str">
        <f t="shared" ca="1" si="80"/>
        <v/>
      </c>
      <c r="Z180" s="315" t="str">
        <f t="shared" ca="1" si="81"/>
        <v/>
      </c>
      <c r="AA180" s="316" t="str">
        <f t="shared" ca="1" si="82"/>
        <v/>
      </c>
      <c r="AC180" s="310" t="e">
        <f t="shared" ca="1" si="83"/>
        <v>#N/A</v>
      </c>
      <c r="AD180" s="323" t="e">
        <f t="shared" ca="1" si="84"/>
        <v>#N/A</v>
      </c>
      <c r="AE180" s="324">
        <f t="shared" ca="1" si="63"/>
        <v>331.40471494392153</v>
      </c>
      <c r="AG180" s="306">
        <f t="shared" ca="1" si="85"/>
        <v>56.355227986562767</v>
      </c>
      <c r="AH180" s="304">
        <f t="shared" ca="1" si="86"/>
        <v>65.986102793455956</v>
      </c>
    </row>
    <row r="181" spans="1:34" x14ac:dyDescent="0.2">
      <c r="A181" s="347">
        <f t="shared" ca="1" si="64"/>
        <v>0.01</v>
      </c>
      <c r="B181" s="304">
        <f t="shared" ca="1" si="65"/>
        <v>1.7700000000000014</v>
      </c>
      <c r="D181" s="306">
        <f t="shared" ca="1" si="66"/>
        <v>12.474224703535521</v>
      </c>
      <c r="E181" s="307">
        <f t="shared" ca="1" si="67"/>
        <v>54.544486381073057</v>
      </c>
      <c r="F181" s="304">
        <f t="shared" ca="1" si="68"/>
        <v>55.9527235845527</v>
      </c>
      <c r="G181" s="306">
        <f t="shared" ca="1" si="69"/>
        <v>50.398593877507174</v>
      </c>
      <c r="H181" s="307">
        <f t="shared" ca="1" si="70"/>
        <v>259.90808879312061</v>
      </c>
      <c r="I181" s="304">
        <f t="shared" ca="1" si="71"/>
        <v>264.74937749676121</v>
      </c>
      <c r="J181" s="306">
        <f t="shared" ca="1" si="72"/>
        <v>62.591644971468867</v>
      </c>
      <c r="K181" s="307">
        <f t="shared" ca="1" si="73"/>
        <v>334.00106860753368</v>
      </c>
      <c r="L181" s="304">
        <f t="shared" ca="1" si="58"/>
        <v>339.81528489932413</v>
      </c>
      <c r="M181" s="306">
        <f t="shared" ca="1" si="74"/>
        <v>1.3792640159379872</v>
      </c>
      <c r="N181" s="304">
        <f t="shared" ca="1" si="75"/>
        <v>79.026006947511377</v>
      </c>
      <c r="P181" s="310">
        <f t="shared" ca="1" si="76"/>
        <v>5</v>
      </c>
      <c r="Q181" s="304">
        <f t="shared" ca="1" si="77"/>
        <v>620.30999999999983</v>
      </c>
      <c r="R181" s="306">
        <f t="shared" ca="1" si="78"/>
        <v>0.31130468768977382</v>
      </c>
      <c r="S181" s="307">
        <f t="shared" ca="1" si="79"/>
        <v>5.368994445167778</v>
      </c>
      <c r="T181" s="304">
        <f t="shared" ca="1" si="59"/>
        <v>52.669835507095904</v>
      </c>
      <c r="U181" s="311">
        <f t="shared" ca="1" si="60"/>
        <v>0</v>
      </c>
      <c r="V181" s="306">
        <f t="shared" ca="1" si="61"/>
        <v>1.1847569305063239</v>
      </c>
      <c r="W181" s="304">
        <f t="shared" ca="1" si="62"/>
        <v>269.42728334085336</v>
      </c>
      <c r="Y181" s="314" t="str">
        <f t="shared" ca="1" si="80"/>
        <v/>
      </c>
      <c r="Z181" s="315" t="str">
        <f t="shared" ca="1" si="81"/>
        <v/>
      </c>
      <c r="AA181" s="316" t="str">
        <f t="shared" ca="1" si="82"/>
        <v/>
      </c>
      <c r="AC181" s="310" t="e">
        <f t="shared" ca="1" si="83"/>
        <v>#N/A</v>
      </c>
      <c r="AD181" s="323" t="e">
        <f t="shared" ca="1" si="84"/>
        <v>#N/A</v>
      </c>
      <c r="AE181" s="324">
        <f t="shared" ca="1" si="63"/>
        <v>334.00106860753368</v>
      </c>
      <c r="AG181" s="306">
        <f t="shared" ca="1" si="85"/>
        <v>55.921573535578347</v>
      </c>
      <c r="AH181" s="304">
        <f t="shared" ca="1" si="86"/>
        <v>65.552316506177064</v>
      </c>
    </row>
    <row r="182" spans="1:34" x14ac:dyDescent="0.2">
      <c r="A182" s="347">
        <f t="shared" ca="1" si="64"/>
        <v>0.01</v>
      </c>
      <c r="B182" s="304">
        <f t="shared" ca="1" si="65"/>
        <v>1.7800000000000014</v>
      </c>
      <c r="D182" s="306">
        <f t="shared" ca="1" si="66"/>
        <v>12.396324770686142</v>
      </c>
      <c r="E182" s="307">
        <f t="shared" ca="1" si="67"/>
        <v>54.118471636304626</v>
      </c>
      <c r="F182" s="304">
        <f t="shared" ca="1" si="68"/>
        <v>55.520067003470331</v>
      </c>
      <c r="G182" s="306">
        <f t="shared" ca="1" si="69"/>
        <v>50.522557125214036</v>
      </c>
      <c r="H182" s="307">
        <f t="shared" ca="1" si="70"/>
        <v>260.44927350948365</v>
      </c>
      <c r="I182" s="304">
        <f t="shared" ca="1" si="71"/>
        <v>265.30426466622873</v>
      </c>
      <c r="J182" s="306">
        <f t="shared" ca="1" si="72"/>
        <v>63.096250726482474</v>
      </c>
      <c r="K182" s="307">
        <f t="shared" ca="1" si="73"/>
        <v>336.6028554190467</v>
      </c>
      <c r="L182" s="304">
        <f t="shared" ca="1" si="58"/>
        <v>342.46550064494789</v>
      </c>
      <c r="M182" s="306">
        <f t="shared" ca="1" si="74"/>
        <v>1.379193626378268</v>
      </c>
      <c r="N182" s="304">
        <f t="shared" ca="1" si="75"/>
        <v>79.021973922817679</v>
      </c>
      <c r="P182" s="310">
        <f t="shared" ca="1" si="76"/>
        <v>5</v>
      </c>
      <c r="Q182" s="304">
        <f t="shared" ca="1" si="77"/>
        <v>618.8499999999998</v>
      </c>
      <c r="R182" s="306">
        <f t="shared" ca="1" si="78"/>
        <v>0.31057198171368594</v>
      </c>
      <c r="S182" s="307">
        <f t="shared" ca="1" si="79"/>
        <v>5.3658887253506409</v>
      </c>
      <c r="T182" s="304">
        <f t="shared" ca="1" si="59"/>
        <v>52.639368395689793</v>
      </c>
      <c r="U182" s="311">
        <f t="shared" ca="1" si="60"/>
        <v>0</v>
      </c>
      <c r="V182" s="306">
        <f t="shared" ca="1" si="61"/>
        <v>1.1844486354658339</v>
      </c>
      <c r="W182" s="304">
        <f t="shared" ca="1" si="62"/>
        <v>270.48744600936311</v>
      </c>
      <c r="Y182" s="314" t="str">
        <f t="shared" ca="1" si="80"/>
        <v/>
      </c>
      <c r="Z182" s="315" t="str">
        <f t="shared" ca="1" si="81"/>
        <v/>
      </c>
      <c r="AA182" s="316" t="str">
        <f t="shared" ca="1" si="82"/>
        <v/>
      </c>
      <c r="AC182" s="310" t="e">
        <f t="shared" ca="1" si="83"/>
        <v>#N/A</v>
      </c>
      <c r="AD182" s="323" t="e">
        <f t="shared" ca="1" si="84"/>
        <v>#N/A</v>
      </c>
      <c r="AE182" s="324">
        <f t="shared" ca="1" si="63"/>
        <v>336.6028554190467</v>
      </c>
      <c r="AG182" s="306">
        <f t="shared" ca="1" si="85"/>
        <v>55.488651221730827</v>
      </c>
      <c r="AH182" s="304">
        <f t="shared" ca="1" si="86"/>
        <v>65.119262538623175</v>
      </c>
    </row>
    <row r="183" spans="1:34" x14ac:dyDescent="0.2">
      <c r="A183" s="347">
        <f t="shared" ca="1" si="64"/>
        <v>0.01</v>
      </c>
      <c r="B183" s="304">
        <f t="shared" ca="1" si="65"/>
        <v>1.7900000000000014</v>
      </c>
      <c r="D183" s="306">
        <f t="shared" ca="1" si="66"/>
        <v>12.318498412942311</v>
      </c>
      <c r="E183" s="307">
        <f t="shared" ca="1" si="67"/>
        <v>53.693198272942908</v>
      </c>
      <c r="F183" s="304">
        <f t="shared" ca="1" si="68"/>
        <v>55.088156112972428</v>
      </c>
      <c r="G183" s="306">
        <f t="shared" ca="1" si="69"/>
        <v>50.645742109343459</v>
      </c>
      <c r="H183" s="307">
        <f t="shared" ca="1" si="70"/>
        <v>260.98620549221306</v>
      </c>
      <c r="I183" s="304">
        <f t="shared" ca="1" si="71"/>
        <v>265.85483003140979</v>
      </c>
      <c r="J183" s="306">
        <f t="shared" ca="1" si="72"/>
        <v>63.602092222655259</v>
      </c>
      <c r="K183" s="307">
        <f t="shared" ca="1" si="73"/>
        <v>339.21003281405518</v>
      </c>
      <c r="L183" s="304">
        <f t="shared" ca="1" si="58"/>
        <v>345.12124318391579</v>
      </c>
      <c r="M183" s="306">
        <f t="shared" ca="1" si="74"/>
        <v>1.379123357091538</v>
      </c>
      <c r="N183" s="304">
        <f t="shared" ca="1" si="75"/>
        <v>79.017947789258656</v>
      </c>
      <c r="P183" s="310">
        <f t="shared" ca="1" si="76"/>
        <v>5</v>
      </c>
      <c r="Q183" s="304">
        <f t="shared" ca="1" si="77"/>
        <v>617.38999999999976</v>
      </c>
      <c r="R183" s="306">
        <f t="shared" ca="1" si="78"/>
        <v>0.30983927573759806</v>
      </c>
      <c r="S183" s="307">
        <f t="shared" ca="1" si="79"/>
        <v>5.3627903325932653</v>
      </c>
      <c r="T183" s="304">
        <f t="shared" ca="1" si="59"/>
        <v>52.608973162739936</v>
      </c>
      <c r="U183" s="311">
        <f t="shared" ca="1" si="60"/>
        <v>0</v>
      </c>
      <c r="V183" s="306">
        <f t="shared" ca="1" si="61"/>
        <v>1.1841397807951419</v>
      </c>
      <c r="W183" s="304">
        <f t="shared" ca="1" si="62"/>
        <v>271.54042925914695</v>
      </c>
      <c r="Y183" s="314" t="str">
        <f t="shared" ca="1" si="80"/>
        <v/>
      </c>
      <c r="Z183" s="315" t="str">
        <f t="shared" ca="1" si="81"/>
        <v/>
      </c>
      <c r="AA183" s="316" t="str">
        <f t="shared" ca="1" si="82"/>
        <v/>
      </c>
      <c r="AC183" s="310" t="e">
        <f t="shared" ca="1" si="83"/>
        <v>#N/A</v>
      </c>
      <c r="AD183" s="323" t="e">
        <f t="shared" ca="1" si="84"/>
        <v>#N/A</v>
      </c>
      <c r="AE183" s="324">
        <f t="shared" ca="1" si="63"/>
        <v>339.21003281405518</v>
      </c>
      <c r="AG183" s="306">
        <f t="shared" ca="1" si="85"/>
        <v>55.056470881573084</v>
      </c>
      <c r="AH183" s="304">
        <f t="shared" ca="1" si="86"/>
        <v>64.686950724565477</v>
      </c>
    </row>
    <row r="184" spans="1:34" x14ac:dyDescent="0.2">
      <c r="A184" s="347">
        <f t="shared" ca="1" si="64"/>
        <v>0.01</v>
      </c>
      <c r="B184" s="304">
        <f t="shared" ca="1" si="65"/>
        <v>1.8000000000000014</v>
      </c>
      <c r="D184" s="306">
        <f t="shared" ca="1" si="66"/>
        <v>12.240747888954045</v>
      </c>
      <c r="E184" s="307">
        <f t="shared" ca="1" si="67"/>
        <v>53.26867573601141</v>
      </c>
      <c r="F184" s="304">
        <f t="shared" ca="1" si="68"/>
        <v>54.657000681973614</v>
      </c>
      <c r="G184" s="306">
        <f t="shared" ca="1" si="69"/>
        <v>50.768149588233001</v>
      </c>
      <c r="H184" s="307">
        <f t="shared" ca="1" si="70"/>
        <v>261.51889224957318</v>
      </c>
      <c r="I184" s="304">
        <f t="shared" ca="1" si="71"/>
        <v>266.40108110902452</v>
      </c>
      <c r="J184" s="306">
        <f t="shared" ca="1" si="72"/>
        <v>64.109161681143135</v>
      </c>
      <c r="K184" s="307">
        <f t="shared" ca="1" si="73"/>
        <v>341.82255830276409</v>
      </c>
      <c r="L184" s="304">
        <f t="shared" ca="1" si="58"/>
        <v>347.78246933407308</v>
      </c>
      <c r="M184" s="306">
        <f t="shared" ca="1" si="74"/>
        <v>1.3790532064884489</v>
      </c>
      <c r="N184" s="304">
        <f t="shared" ca="1" si="75"/>
        <v>79.013928455771349</v>
      </c>
      <c r="P184" s="310">
        <f t="shared" ca="1" si="76"/>
        <v>5</v>
      </c>
      <c r="Q184" s="304">
        <f t="shared" ca="1" si="77"/>
        <v>615.92999999999984</v>
      </c>
      <c r="R184" s="306">
        <f t="shared" ca="1" si="78"/>
        <v>0.30910656976151019</v>
      </c>
      <c r="S184" s="307">
        <f t="shared" ca="1" si="79"/>
        <v>5.3596992668956505</v>
      </c>
      <c r="T184" s="304">
        <f t="shared" ca="1" si="59"/>
        <v>52.578649808246332</v>
      </c>
      <c r="U184" s="311">
        <f t="shared" ca="1" si="60"/>
        <v>0</v>
      </c>
      <c r="V184" s="306">
        <f t="shared" ca="1" si="61"/>
        <v>1.1838303719865086</v>
      </c>
      <c r="W184" s="304">
        <f t="shared" ca="1" si="62"/>
        <v>272.58619836639338</v>
      </c>
      <c r="Y184" s="314" t="str">
        <f t="shared" ca="1" si="80"/>
        <v/>
      </c>
      <c r="Z184" s="315" t="str">
        <f t="shared" ca="1" si="81"/>
        <v/>
      </c>
      <c r="AA184" s="316" t="str">
        <f t="shared" ca="1" si="82"/>
        <v/>
      </c>
      <c r="AC184" s="310" t="e">
        <f t="shared" ca="1" si="83"/>
        <v>#N/A</v>
      </c>
      <c r="AD184" s="323" t="e">
        <f t="shared" ca="1" si="84"/>
        <v>#N/A</v>
      </c>
      <c r="AE184" s="324">
        <f t="shared" ca="1" si="63"/>
        <v>341.82255830276409</v>
      </c>
      <c r="AG184" s="306">
        <f t="shared" ca="1" si="85"/>
        <v>54.625042212061501</v>
      </c>
      <c r="AH184" s="304">
        <f t="shared" ca="1" si="86"/>
        <v>64.255390758206488</v>
      </c>
    </row>
    <row r="185" spans="1:34" x14ac:dyDescent="0.2">
      <c r="A185" s="347">
        <f t="shared" ca="1" si="64"/>
        <v>0.01</v>
      </c>
      <c r="B185" s="304">
        <f t="shared" ca="1" si="65"/>
        <v>1.8100000000000014</v>
      </c>
      <c r="D185" s="306">
        <f t="shared" ca="1" si="66"/>
        <v>12.163075429151974</v>
      </c>
      <c r="E185" s="307">
        <f t="shared" ca="1" si="67"/>
        <v>52.844913334030338</v>
      </c>
      <c r="F185" s="304">
        <f t="shared" ca="1" si="68"/>
        <v>54.226610341938375</v>
      </c>
      <c r="G185" s="306">
        <f t="shared" ca="1" si="69"/>
        <v>50.889780342524524</v>
      </c>
      <c r="H185" s="307">
        <f t="shared" ca="1" si="70"/>
        <v>262.04734138291349</v>
      </c>
      <c r="I185" s="304">
        <f t="shared" ca="1" si="71"/>
        <v>266.94302551136934</v>
      </c>
      <c r="J185" s="306">
        <f t="shared" ca="1" si="72"/>
        <v>64.617451330796925</v>
      </c>
      <c r="K185" s="307">
        <f t="shared" ca="1" si="73"/>
        <v>344.4403894709265</v>
      </c>
      <c r="L185" s="304">
        <f t="shared" ca="1" si="58"/>
        <v>350.44913598890702</v>
      </c>
      <c r="M185" s="306">
        <f t="shared" ca="1" si="74"/>
        <v>1.3789831729965862</v>
      </c>
      <c r="N185" s="304">
        <f t="shared" ca="1" si="75"/>
        <v>79.009915832263061</v>
      </c>
      <c r="P185" s="310">
        <f t="shared" ca="1" si="76"/>
        <v>5</v>
      </c>
      <c r="Q185" s="304">
        <f t="shared" ca="1" si="77"/>
        <v>614.4699999999998</v>
      </c>
      <c r="R185" s="306">
        <f t="shared" ca="1" si="78"/>
        <v>0.30837386378542231</v>
      </c>
      <c r="S185" s="307">
        <f t="shared" ca="1" si="79"/>
        <v>5.3566155282577963</v>
      </c>
      <c r="T185" s="304">
        <f t="shared" ca="1" si="59"/>
        <v>52.548398332208983</v>
      </c>
      <c r="U185" s="311">
        <f t="shared" ca="1" si="60"/>
        <v>0</v>
      </c>
      <c r="V185" s="306">
        <f t="shared" ca="1" si="61"/>
        <v>1.183520414518725</v>
      </c>
      <c r="W185" s="304">
        <f t="shared" ca="1" si="62"/>
        <v>273.62471943582727</v>
      </c>
      <c r="Y185" s="314" t="str">
        <f t="shared" ca="1" si="80"/>
        <v/>
      </c>
      <c r="Z185" s="315" t="str">
        <f t="shared" ca="1" si="81"/>
        <v/>
      </c>
      <c r="AA185" s="316" t="str">
        <f t="shared" ca="1" si="82"/>
        <v/>
      </c>
      <c r="AC185" s="310" t="e">
        <f t="shared" ca="1" si="83"/>
        <v>#N/A</v>
      </c>
      <c r="AD185" s="323" t="e">
        <f t="shared" ca="1" si="84"/>
        <v>#N/A</v>
      </c>
      <c r="AE185" s="324">
        <f t="shared" ca="1" si="63"/>
        <v>344.4403894709265</v>
      </c>
      <c r="AG185" s="306">
        <f t="shared" ca="1" si="85"/>
        <v>54.194374770843915</v>
      </c>
      <c r="AH185" s="304">
        <f t="shared" ca="1" si="86"/>
        <v>63.824592194467591</v>
      </c>
    </row>
    <row r="186" spans="1:34" x14ac:dyDescent="0.2">
      <c r="A186" s="347">
        <f t="shared" ca="1" si="64"/>
        <v>0.01</v>
      </c>
      <c r="B186" s="304">
        <f t="shared" ca="1" si="65"/>
        <v>1.8200000000000014</v>
      </c>
      <c r="D186" s="306">
        <f t="shared" ca="1" si="66"/>
        <v>12.085483235812148</v>
      </c>
      <c r="E186" s="307">
        <f t="shared" ca="1" si="67"/>
        <v>52.421920239316918</v>
      </c>
      <c r="F186" s="304">
        <f t="shared" ca="1" si="68"/>
        <v>53.796994587248093</v>
      </c>
      <c r="G186" s="306">
        <f t="shared" ca="1" si="69"/>
        <v>51.010635174882644</v>
      </c>
      <c r="H186" s="307">
        <f t="shared" ca="1" si="70"/>
        <v>262.57156058530666</v>
      </c>
      <c r="I186" s="304">
        <f t="shared" ca="1" si="71"/>
        <v>267.48067094492706</v>
      </c>
      <c r="J186" s="306">
        <f t="shared" ca="1" si="72"/>
        <v>65.126953408383955</v>
      </c>
      <c r="K186" s="307">
        <f t="shared" ca="1" si="73"/>
        <v>347.06348398076761</v>
      </c>
      <c r="L186" s="304">
        <f t="shared" ca="1" si="58"/>
        <v>353.12120011849521</v>
      </c>
      <c r="M186" s="306">
        <f t="shared" ca="1" si="74"/>
        <v>1.3789132550601966</v>
      </c>
      <c r="N186" s="304">
        <f t="shared" ca="1" si="75"/>
        <v>79.005909829595666</v>
      </c>
      <c r="P186" s="310">
        <f t="shared" ca="1" si="76"/>
        <v>5</v>
      </c>
      <c r="Q186" s="304">
        <f t="shared" ca="1" si="77"/>
        <v>613.00999999999976</v>
      </c>
      <c r="R186" s="306">
        <f t="shared" ca="1" si="78"/>
        <v>0.30764115780933443</v>
      </c>
      <c r="S186" s="307">
        <f t="shared" ca="1" si="79"/>
        <v>5.3535391166797028</v>
      </c>
      <c r="T186" s="304">
        <f t="shared" ca="1" si="59"/>
        <v>52.518218734627887</v>
      </c>
      <c r="U186" s="311">
        <f t="shared" ca="1" si="60"/>
        <v>0</v>
      </c>
      <c r="V186" s="306">
        <f t="shared" ca="1" si="61"/>
        <v>1.1832099138569885</v>
      </c>
      <c r="W186" s="304">
        <f t="shared" ca="1" si="62"/>
        <v>274.65595939614377</v>
      </c>
      <c r="Y186" s="314" t="str">
        <f t="shared" ca="1" si="80"/>
        <v/>
      </c>
      <c r="Z186" s="315" t="str">
        <f t="shared" ca="1" si="81"/>
        <v/>
      </c>
      <c r="AA186" s="316" t="str">
        <f t="shared" ca="1" si="82"/>
        <v/>
      </c>
      <c r="AC186" s="310" t="e">
        <f t="shared" ca="1" si="83"/>
        <v>#N/A</v>
      </c>
      <c r="AD186" s="323" t="e">
        <f t="shared" ca="1" si="84"/>
        <v>#N/A</v>
      </c>
      <c r="AE186" s="324">
        <f t="shared" ca="1" si="63"/>
        <v>347.06348398076761</v>
      </c>
      <c r="AG186" s="306">
        <f t="shared" ca="1" si="85"/>
        <v>53.7644779765659</v>
      </c>
      <c r="AH186" s="304">
        <f t="shared" ca="1" si="86"/>
        <v>63.394564449294862</v>
      </c>
    </row>
    <row r="187" spans="1:34" x14ac:dyDescent="0.2">
      <c r="A187" s="347">
        <f t="shared" ca="1" si="64"/>
        <v>0.01</v>
      </c>
      <c r="B187" s="304">
        <f t="shared" ca="1" si="65"/>
        <v>1.8300000000000014</v>
      </c>
      <c r="D187" s="306">
        <f t="shared" ca="1" si="66"/>
        <v>12.007973483123784</v>
      </c>
      <c r="E187" s="307">
        <f t="shared" ca="1" si="67"/>
        <v>51.999705488303519</v>
      </c>
      <c r="F187" s="304">
        <f t="shared" ca="1" si="68"/>
        <v>53.368162775588473</v>
      </c>
      <c r="G187" s="306">
        <f t="shared" ca="1" si="69"/>
        <v>51.13071490971388</v>
      </c>
      <c r="H187" s="307">
        <f t="shared" ca="1" si="70"/>
        <v>263.09155764018971</v>
      </c>
      <c r="I187" s="304">
        <f t="shared" ca="1" si="71"/>
        <v>268.01402520897989</v>
      </c>
      <c r="J187" s="306">
        <f t="shared" ca="1" si="72"/>
        <v>65.637660158806938</v>
      </c>
      <c r="K187" s="307">
        <f t="shared" ca="1" si="73"/>
        <v>349.6917995718951</v>
      </c>
      <c r="L187" s="304">
        <f t="shared" ca="1" si="58"/>
        <v>355.79861877044084</v>
      </c>
      <c r="M187" s="306">
        <f t="shared" ca="1" si="74"/>
        <v>1.3788434511399206</v>
      </c>
      <c r="N187" s="304">
        <f t="shared" ca="1" si="75"/>
        <v>79.001910359570388</v>
      </c>
      <c r="P187" s="310">
        <f t="shared" ca="1" si="76"/>
        <v>5</v>
      </c>
      <c r="Q187" s="304">
        <f t="shared" ca="1" si="77"/>
        <v>611.54999999999973</v>
      </c>
      <c r="R187" s="306">
        <f t="shared" ca="1" si="78"/>
        <v>0.30690845183324655</v>
      </c>
      <c r="S187" s="307">
        <f t="shared" ca="1" si="79"/>
        <v>5.3504700321613701</v>
      </c>
      <c r="T187" s="304">
        <f t="shared" ca="1" si="59"/>
        <v>52.488111015503044</v>
      </c>
      <c r="U187" s="311">
        <f t="shared" ca="1" si="60"/>
        <v>0</v>
      </c>
      <c r="V187" s="306">
        <f t="shared" ca="1" si="61"/>
        <v>1.1828988754527889</v>
      </c>
      <c r="W187" s="304">
        <f t="shared" ca="1" si="62"/>
        <v>275.6798859953721</v>
      </c>
      <c r="Y187" s="314" t="str">
        <f t="shared" ca="1" si="80"/>
        <v/>
      </c>
      <c r="Z187" s="315" t="str">
        <f t="shared" ca="1" si="81"/>
        <v/>
      </c>
      <c r="AA187" s="316" t="str">
        <f t="shared" ca="1" si="82"/>
        <v/>
      </c>
      <c r="AC187" s="310" t="e">
        <f t="shared" ca="1" si="83"/>
        <v>#N/A</v>
      </c>
      <c r="AD187" s="323" t="e">
        <f t="shared" ca="1" si="84"/>
        <v>#N/A</v>
      </c>
      <c r="AE187" s="324">
        <f t="shared" ca="1" si="63"/>
        <v>349.6917995718951</v>
      </c>
      <c r="AG187" s="306">
        <f t="shared" ca="1" si="85"/>
        <v>53.335361109195134</v>
      </c>
      <c r="AH187" s="304">
        <f t="shared" ca="1" si="86"/>
        <v>62.965316799983007</v>
      </c>
    </row>
    <row r="188" spans="1:34" x14ac:dyDescent="0.2">
      <c r="A188" s="347">
        <f t="shared" ca="1" si="64"/>
        <v>0.01</v>
      </c>
      <c r="B188" s="304">
        <f t="shared" ca="1" si="65"/>
        <v>1.8400000000000014</v>
      </c>
      <c r="D188" s="306">
        <f t="shared" ca="1" si="66"/>
        <v>11.930548317259687</v>
      </c>
      <c r="E188" s="307">
        <f t="shared" ca="1" si="67"/>
        <v>51.578277981872638</v>
      </c>
      <c r="F188" s="304">
        <f t="shared" ca="1" si="68"/>
        <v>52.940124128356516</v>
      </c>
      <c r="G188" s="306">
        <f t="shared" ca="1" si="69"/>
        <v>51.250020392886476</v>
      </c>
      <c r="H188" s="307">
        <f t="shared" ca="1" si="70"/>
        <v>263.60734042000843</v>
      </c>
      <c r="I188" s="304">
        <f t="shared" ca="1" si="71"/>
        <v>268.54309619422634</v>
      </c>
      <c r="J188" s="306">
        <f t="shared" ca="1" si="72"/>
        <v>66.149563835319938</v>
      </c>
      <c r="K188" s="307">
        <f t="shared" ca="1" si="73"/>
        <v>352.32529406219612</v>
      </c>
      <c r="L188" s="304">
        <f t="shared" ca="1" si="58"/>
        <v>358.48134907079339</v>
      </c>
      <c r="M188" s="306">
        <f t="shared" ca="1" si="74"/>
        <v>1.3787737597125305</v>
      </c>
      <c r="N188" s="304">
        <f t="shared" ca="1" si="75"/>
        <v>78.9979173349127</v>
      </c>
      <c r="P188" s="310">
        <f t="shared" ca="1" si="76"/>
        <v>5</v>
      </c>
      <c r="Q188" s="304">
        <f t="shared" ca="1" si="77"/>
        <v>610.0899999999998</v>
      </c>
      <c r="R188" s="306">
        <f t="shared" ca="1" si="78"/>
        <v>0.30617574585715868</v>
      </c>
      <c r="S188" s="307">
        <f t="shared" ca="1" si="79"/>
        <v>5.3474082747027989</v>
      </c>
      <c r="T188" s="304">
        <f t="shared" ca="1" si="59"/>
        <v>52.458075174834462</v>
      </c>
      <c r="U188" s="311">
        <f t="shared" ca="1" si="60"/>
        <v>0</v>
      </c>
      <c r="V188" s="306">
        <f t="shared" ca="1" si="61"/>
        <v>1.1825873047437867</v>
      </c>
      <c r="W188" s="304">
        <f t="shared" ca="1" si="62"/>
        <v>276.69646779616517</v>
      </c>
      <c r="Y188" s="314" t="str">
        <f t="shared" ca="1" si="80"/>
        <v/>
      </c>
      <c r="Z188" s="315" t="str">
        <f t="shared" ca="1" si="81"/>
        <v/>
      </c>
      <c r="AA188" s="316" t="str">
        <f t="shared" ca="1" si="82"/>
        <v/>
      </c>
      <c r="AC188" s="310" t="e">
        <f t="shared" ca="1" si="83"/>
        <v>#N/A</v>
      </c>
      <c r="AD188" s="323" t="e">
        <f t="shared" ca="1" si="84"/>
        <v>#N/A</v>
      </c>
      <c r="AE188" s="324">
        <f t="shared" ca="1" si="63"/>
        <v>352.32529406219612</v>
      </c>
      <c r="AG188" s="306">
        <f t="shared" ca="1" si="85"/>
        <v>52.907033310362912</v>
      </c>
      <c r="AH188" s="304">
        <f t="shared" ca="1" si="86"/>
        <v>62.536858385516432</v>
      </c>
    </row>
    <row r="189" spans="1:34" x14ac:dyDescent="0.2">
      <c r="A189" s="347">
        <f t="shared" ca="1" si="64"/>
        <v>0.01</v>
      </c>
      <c r="B189" s="304">
        <f t="shared" ca="1" si="65"/>
        <v>1.8500000000000014</v>
      </c>
      <c r="D189" s="306">
        <f t="shared" ca="1" si="66"/>
        <v>11.853209856449592</v>
      </c>
      <c r="E189" s="307">
        <f t="shared" ca="1" si="67"/>
        <v>51.157646485709513</v>
      </c>
      <c r="F189" s="304">
        <f t="shared" ca="1" si="68"/>
        <v>52.512887731088078</v>
      </c>
      <c r="G189" s="306">
        <f t="shared" ca="1" si="69"/>
        <v>51.36855249145097</v>
      </c>
      <c r="H189" s="307">
        <f t="shared" ca="1" si="70"/>
        <v>264.11891688486554</v>
      </c>
      <c r="I189" s="304">
        <f t="shared" ca="1" si="71"/>
        <v>269.06789188140129</v>
      </c>
      <c r="J189" s="306">
        <f t="shared" ca="1" si="72"/>
        <v>66.662656699741632</v>
      </c>
      <c r="K189" s="307">
        <f t="shared" ca="1" si="73"/>
        <v>354.96392534872047</v>
      </c>
      <c r="L189" s="304">
        <f t="shared" ca="1" si="58"/>
        <v>361.16934822495608</v>
      </c>
      <c r="M189" s="306">
        <f t="shared" ca="1" si="74"/>
        <v>1.3787041792706738</v>
      </c>
      <c r="N189" s="304">
        <f t="shared" ca="1" si="75"/>
        <v>78.993930669257651</v>
      </c>
      <c r="P189" s="310">
        <f t="shared" ca="1" si="76"/>
        <v>5</v>
      </c>
      <c r="Q189" s="304">
        <f t="shared" ca="1" si="77"/>
        <v>608.62999999999977</v>
      </c>
      <c r="R189" s="306">
        <f t="shared" ca="1" si="78"/>
        <v>0.3054430398810708</v>
      </c>
      <c r="S189" s="307">
        <f t="shared" ca="1" si="79"/>
        <v>5.3443538443039884</v>
      </c>
      <c r="T189" s="304">
        <f t="shared" ca="1" si="59"/>
        <v>52.428111212622127</v>
      </c>
      <c r="U189" s="311">
        <f t="shared" ca="1" si="60"/>
        <v>0</v>
      </c>
      <c r="V189" s="306">
        <f t="shared" ca="1" si="61"/>
        <v>1.1822752071537033</v>
      </c>
      <c r="W189" s="304">
        <f t="shared" ca="1" si="62"/>
        <v>277.70567417102365</v>
      </c>
      <c r="Y189" s="314" t="str">
        <f t="shared" ca="1" si="80"/>
        <v/>
      </c>
      <c r="Z189" s="315" t="str">
        <f t="shared" ca="1" si="81"/>
        <v/>
      </c>
      <c r="AA189" s="316" t="str">
        <f t="shared" ca="1" si="82"/>
        <v/>
      </c>
      <c r="AC189" s="310" t="e">
        <f t="shared" ca="1" si="83"/>
        <v>#N/A</v>
      </c>
      <c r="AD189" s="323" t="e">
        <f t="shared" ca="1" si="84"/>
        <v>#N/A</v>
      </c>
      <c r="AE189" s="324">
        <f t="shared" ca="1" si="63"/>
        <v>354.96392534872047</v>
      </c>
      <c r="AG189" s="306">
        <f t="shared" ca="1" si="85"/>
        <v>52.479503583723407</v>
      </c>
      <c r="AH189" s="304">
        <f t="shared" ca="1" si="86"/>
        <v>62.109198206928106</v>
      </c>
    </row>
    <row r="190" spans="1:34" x14ac:dyDescent="0.2">
      <c r="A190" s="347">
        <f t="shared" ca="1" si="64"/>
        <v>0.01</v>
      </c>
      <c r="B190" s="304">
        <f t="shared" ca="1" si="65"/>
        <v>1.8600000000000014</v>
      </c>
      <c r="D190" s="306">
        <f t="shared" ca="1" si="66"/>
        <v>11.775960191056091</v>
      </c>
      <c r="E190" s="307">
        <f t="shared" ca="1" si="67"/>
        <v>50.737819630670998</v>
      </c>
      <c r="F190" s="304">
        <f t="shared" ca="1" si="68"/>
        <v>52.086462533904538</v>
      </c>
      <c r="G190" s="306">
        <f t="shared" ca="1" si="69"/>
        <v>51.486312093361533</v>
      </c>
      <c r="H190" s="307">
        <f t="shared" ca="1" si="70"/>
        <v>264.62629508117226</v>
      </c>
      <c r="I190" s="304">
        <f t="shared" ca="1" si="71"/>
        <v>269.58842033990015</v>
      </c>
      <c r="J190" s="306">
        <f t="shared" ca="1" si="72"/>
        <v>67.176931022665698</v>
      </c>
      <c r="K190" s="307">
        <f t="shared" ca="1" si="73"/>
        <v>357.60765140855068</v>
      </c>
      <c r="L190" s="304">
        <f t="shared" ca="1" si="58"/>
        <v>363.86257351857921</v>
      </c>
      <c r="M190" s="306">
        <f t="shared" ca="1" si="74"/>
        <v>1.3786347083226203</v>
      </c>
      <c r="N190" s="304">
        <f t="shared" ca="1" si="75"/>
        <v>78.989950277135407</v>
      </c>
      <c r="P190" s="310">
        <f t="shared" ca="1" si="76"/>
        <v>5</v>
      </c>
      <c r="Q190" s="304">
        <f t="shared" ca="1" si="77"/>
        <v>607.16999999999973</v>
      </c>
      <c r="R190" s="306">
        <f t="shared" ca="1" si="78"/>
        <v>0.30471033390498292</v>
      </c>
      <c r="S190" s="307">
        <f t="shared" ca="1" si="79"/>
        <v>5.3413067409649386</v>
      </c>
      <c r="T190" s="304">
        <f t="shared" ca="1" si="59"/>
        <v>52.398219128866053</v>
      </c>
      <c r="U190" s="311">
        <f t="shared" ca="1" si="60"/>
        <v>0</v>
      </c>
      <c r="V190" s="306">
        <f t="shared" ca="1" si="61"/>
        <v>1.1819625880922051</v>
      </c>
      <c r="W190" s="304">
        <f t="shared" ca="1" si="62"/>
        <v>278.70747529745</v>
      </c>
      <c r="Y190" s="314" t="str">
        <f t="shared" ca="1" si="80"/>
        <v/>
      </c>
      <c r="Z190" s="315" t="str">
        <f t="shared" ca="1" si="81"/>
        <v/>
      </c>
      <c r="AA190" s="316" t="str">
        <f t="shared" ca="1" si="82"/>
        <v/>
      </c>
      <c r="AC190" s="310" t="e">
        <f t="shared" ca="1" si="83"/>
        <v>#N/A</v>
      </c>
      <c r="AD190" s="323" t="e">
        <f t="shared" ca="1" si="84"/>
        <v>#N/A</v>
      </c>
      <c r="AE190" s="324">
        <f t="shared" ca="1" si="63"/>
        <v>357.60765140855068</v>
      </c>
      <c r="AG190" s="306">
        <f t="shared" ca="1" si="85"/>
        <v>52.052780795329483</v>
      </c>
      <c r="AH190" s="304">
        <f t="shared" ca="1" si="86"/>
        <v>61.682345127674957</v>
      </c>
    </row>
    <row r="191" spans="1:34" x14ac:dyDescent="0.2">
      <c r="A191" s="347">
        <f t="shared" ca="1" si="64"/>
        <v>0.01</v>
      </c>
      <c r="B191" s="304">
        <f t="shared" ca="1" si="65"/>
        <v>1.8700000000000014</v>
      </c>
      <c r="D191" s="306">
        <f t="shared" ca="1" si="66"/>
        <v>11.698801383653437</v>
      </c>
      <c r="E191" s="307">
        <f t="shared" ca="1" si="67"/>
        <v>50.318805913171303</v>
      </c>
      <c r="F191" s="304">
        <f t="shared" ca="1" si="68"/>
        <v>51.660857351979502</v>
      </c>
      <c r="G191" s="306">
        <f t="shared" ca="1" si="69"/>
        <v>51.603300107198066</v>
      </c>
      <c r="H191" s="307">
        <f t="shared" ca="1" si="70"/>
        <v>265.12948314030399</v>
      </c>
      <c r="I191" s="304">
        <f t="shared" ca="1" si="71"/>
        <v>270.10468972640643</v>
      </c>
      <c r="J191" s="306">
        <f t="shared" ca="1" si="72"/>
        <v>67.692379083668499</v>
      </c>
      <c r="K191" s="307">
        <f t="shared" ca="1" si="73"/>
        <v>360.25643029965806</v>
      </c>
      <c r="L191" s="304">
        <f t="shared" ca="1" si="58"/>
        <v>366.5609823184397</v>
      </c>
      <c r="M191" s="306">
        <f t="shared" ca="1" si="74"/>
        <v>1.378565345392015</v>
      </c>
      <c r="N191" s="304">
        <f t="shared" ca="1" si="75"/>
        <v>78.985976073957076</v>
      </c>
      <c r="P191" s="310">
        <f t="shared" ca="1" si="76"/>
        <v>5</v>
      </c>
      <c r="Q191" s="304">
        <f t="shared" ca="1" si="77"/>
        <v>605.70999999999981</v>
      </c>
      <c r="R191" s="306">
        <f t="shared" ca="1" si="78"/>
        <v>0.30397762792889504</v>
      </c>
      <c r="S191" s="307">
        <f t="shared" ca="1" si="79"/>
        <v>5.3382669646856495</v>
      </c>
      <c r="T191" s="304">
        <f t="shared" ca="1" si="59"/>
        <v>52.368398923566225</v>
      </c>
      <c r="U191" s="311">
        <f t="shared" ca="1" si="60"/>
        <v>0</v>
      </c>
      <c r="V191" s="306">
        <f t="shared" ca="1" si="61"/>
        <v>1.1816494529547941</v>
      </c>
      <c r="W191" s="304">
        <f t="shared" ca="1" si="62"/>
        <v>279.70184215303817</v>
      </c>
      <c r="Y191" s="314" t="str">
        <f t="shared" ca="1" si="80"/>
        <v/>
      </c>
      <c r="Z191" s="315" t="str">
        <f t="shared" ca="1" si="81"/>
        <v/>
      </c>
      <c r="AA191" s="316" t="str">
        <f t="shared" ca="1" si="82"/>
        <v/>
      </c>
      <c r="AC191" s="310" t="e">
        <f t="shared" ca="1" si="83"/>
        <v>#N/A</v>
      </c>
      <c r="AD191" s="323" t="e">
        <f t="shared" ca="1" si="84"/>
        <v>#N/A</v>
      </c>
      <c r="AE191" s="324">
        <f t="shared" ca="1" si="63"/>
        <v>360.25643029965806</v>
      </c>
      <c r="AG191" s="306">
        <f t="shared" ca="1" si="85"/>
        <v>51.626873674025589</v>
      </c>
      <c r="AH191" s="304">
        <f t="shared" ca="1" si="86"/>
        <v>61.256307874030377</v>
      </c>
    </row>
    <row r="192" spans="1:34" x14ac:dyDescent="0.2">
      <c r="A192" s="347">
        <f t="shared" ca="1" si="64"/>
        <v>0.01</v>
      </c>
      <c r="B192" s="304">
        <f t="shared" ca="1" si="65"/>
        <v>1.8800000000000014</v>
      </c>
      <c r="D192" s="306">
        <f t="shared" ca="1" si="66"/>
        <v>11.621735469108881</v>
      </c>
      <c r="E192" s="307">
        <f t="shared" ca="1" si="67"/>
        <v>49.900613695583694</v>
      </c>
      <c r="F192" s="304">
        <f t="shared" ca="1" si="68"/>
        <v>51.236080866024665</v>
      </c>
      <c r="G192" s="306">
        <f t="shared" ca="1" si="69"/>
        <v>51.719517461889154</v>
      </c>
      <c r="H192" s="307">
        <f t="shared" ca="1" si="70"/>
        <v>265.6284892772598</v>
      </c>
      <c r="I192" s="304">
        <f t="shared" ca="1" si="71"/>
        <v>270.61670828352408</v>
      </c>
      <c r="J192" s="306">
        <f t="shared" ca="1" si="72"/>
        <v>68.208993171513939</v>
      </c>
      <c r="K192" s="307">
        <f t="shared" ca="1" si="73"/>
        <v>362.91022016174588</v>
      </c>
      <c r="L192" s="304">
        <f t="shared" ca="1" si="58"/>
        <v>369.26453207330718</v>
      </c>
      <c r="M192" s="306">
        <f t="shared" ca="1" si="74"/>
        <v>1.3784960890176352</v>
      </c>
      <c r="N192" s="304">
        <f t="shared" ca="1" si="75"/>
        <v>78.98200797600073</v>
      </c>
      <c r="P192" s="310">
        <f t="shared" ca="1" si="76"/>
        <v>5</v>
      </c>
      <c r="Q192" s="304">
        <f t="shared" ca="1" si="77"/>
        <v>604.24999999999977</v>
      </c>
      <c r="R192" s="306">
        <f t="shared" ca="1" si="78"/>
        <v>0.30324492195280717</v>
      </c>
      <c r="S192" s="307">
        <f t="shared" ca="1" si="79"/>
        <v>5.3352345154661212</v>
      </c>
      <c r="T192" s="304">
        <f t="shared" ca="1" si="59"/>
        <v>52.338650596722651</v>
      </c>
      <c r="U192" s="311">
        <f t="shared" ca="1" si="60"/>
        <v>0</v>
      </c>
      <c r="V192" s="306">
        <f t="shared" ca="1" si="61"/>
        <v>1.1813358071227005</v>
      </c>
      <c r="W192" s="304">
        <f t="shared" ca="1" si="62"/>
        <v>280.68874651050135</v>
      </c>
      <c r="Y192" s="314" t="str">
        <f t="shared" ca="1" si="80"/>
        <v/>
      </c>
      <c r="Z192" s="315" t="str">
        <f t="shared" ca="1" si="81"/>
        <v/>
      </c>
      <c r="AA192" s="316" t="str">
        <f t="shared" ca="1" si="82"/>
        <v/>
      </c>
      <c r="AC192" s="310" t="e">
        <f t="shared" ca="1" si="83"/>
        <v>#N/A</v>
      </c>
      <c r="AD192" s="323" t="e">
        <f t="shared" ca="1" si="84"/>
        <v>#N/A</v>
      </c>
      <c r="AE192" s="324">
        <f t="shared" ca="1" si="63"/>
        <v>362.91022016174588</v>
      </c>
      <c r="AG192" s="306">
        <f t="shared" ca="1" si="85"/>
        <v>51.201790811856895</v>
      </c>
      <c r="AH192" s="304">
        <f t="shared" ca="1" si="86"/>
        <v>60.831095035492915</v>
      </c>
    </row>
    <row r="193" spans="1:34" x14ac:dyDescent="0.2">
      <c r="A193" s="347">
        <f t="shared" ca="1" si="64"/>
        <v>0.01</v>
      </c>
      <c r="B193" s="304">
        <f t="shared" ca="1" si="65"/>
        <v>1.8900000000000015</v>
      </c>
      <c r="D193" s="306">
        <f t="shared" ca="1" si="66"/>
        <v>11.544764454666717</v>
      </c>
      <c r="E193" s="307">
        <f t="shared" ca="1" si="67"/>
        <v>49.483251206657997</v>
      </c>
      <c r="F193" s="304">
        <f t="shared" ca="1" si="68"/>
        <v>50.812141622794805</v>
      </c>
      <c r="G193" s="306">
        <f t="shared" ca="1" si="69"/>
        <v>51.834965106435824</v>
      </c>
      <c r="H193" s="307">
        <f t="shared" ca="1" si="70"/>
        <v>266.12332178932638</v>
      </c>
      <c r="I193" s="304">
        <f t="shared" ca="1" si="71"/>
        <v>271.12448433841377</v>
      </c>
      <c r="J193" s="306">
        <f t="shared" ca="1" si="72"/>
        <v>68.726765584355562</v>
      </c>
      <c r="K193" s="307">
        <f t="shared" ca="1" si="73"/>
        <v>365.56897921707883</v>
      </c>
      <c r="L193" s="304">
        <f t="shared" ca="1" si="58"/>
        <v>371.97318031479631</v>
      </c>
      <c r="M193" s="306">
        <f t="shared" ca="1" si="74"/>
        <v>1.3784269377531522</v>
      </c>
      <c r="N193" s="304">
        <f t="shared" ca="1" si="75"/>
        <v>78.978045900397859</v>
      </c>
      <c r="P193" s="310">
        <f t="shared" ca="1" si="76"/>
        <v>5</v>
      </c>
      <c r="Q193" s="304">
        <f t="shared" ca="1" si="77"/>
        <v>602.78999999999974</v>
      </c>
      <c r="R193" s="306">
        <f t="shared" ca="1" si="78"/>
        <v>0.30251221597671929</v>
      </c>
      <c r="S193" s="307">
        <f t="shared" ca="1" si="79"/>
        <v>5.3322093933063544</v>
      </c>
      <c r="T193" s="304">
        <f t="shared" ca="1" si="59"/>
        <v>52.308974148335338</v>
      </c>
      <c r="U193" s="311">
        <f t="shared" ca="1" si="60"/>
        <v>0</v>
      </c>
      <c r="V193" s="306">
        <f t="shared" ca="1" si="61"/>
        <v>1.1810216559627753</v>
      </c>
      <c r="W193" s="304">
        <f t="shared" ca="1" si="62"/>
        <v>281.66816093263674</v>
      </c>
      <c r="Y193" s="314" t="str">
        <f t="shared" ca="1" si="80"/>
        <v/>
      </c>
      <c r="Z193" s="315" t="str">
        <f t="shared" ca="1" si="81"/>
        <v/>
      </c>
      <c r="AA193" s="316" t="str">
        <f t="shared" ca="1" si="82"/>
        <v/>
      </c>
      <c r="AC193" s="310" t="e">
        <f t="shared" ca="1" si="83"/>
        <v>#N/A</v>
      </c>
      <c r="AD193" s="323" t="e">
        <f t="shared" ca="1" si="84"/>
        <v>#N/A</v>
      </c>
      <c r="AE193" s="324">
        <f t="shared" ca="1" si="63"/>
        <v>365.56897921707883</v>
      </c>
      <c r="AG193" s="306">
        <f t="shared" ca="1" si="85"/>
        <v>50.777540664494303</v>
      </c>
      <c r="AH193" s="304">
        <f t="shared" ca="1" si="86"/>
        <v>60.406715065210967</v>
      </c>
    </row>
    <row r="194" spans="1:34" x14ac:dyDescent="0.2">
      <c r="A194" s="347">
        <f t="shared" ca="1" si="64"/>
        <v>0.01</v>
      </c>
      <c r="B194" s="304">
        <f t="shared" ca="1" si="65"/>
        <v>1.9000000000000015</v>
      </c>
      <c r="D194" s="306">
        <f t="shared" ca="1" si="66"/>
        <v>11.467890320034867</v>
      </c>
      <c r="E194" s="307">
        <f t="shared" ca="1" si="67"/>
        <v>49.066726541953798</v>
      </c>
      <c r="F194" s="304">
        <f t="shared" ca="1" si="68"/>
        <v>50.389048035612092</v>
      </c>
      <c r="G194" s="306">
        <f t="shared" ca="1" si="69"/>
        <v>51.949644009636174</v>
      </c>
      <c r="H194" s="307">
        <f t="shared" ca="1" si="70"/>
        <v>266.6139890547459</v>
      </c>
      <c r="I194" s="304">
        <f t="shared" ca="1" si="71"/>
        <v>271.62802630143318</v>
      </c>
      <c r="J194" s="306">
        <f t="shared" ca="1" si="72"/>
        <v>69.245688629935927</v>
      </c>
      <c r="K194" s="307">
        <f t="shared" ca="1" si="73"/>
        <v>368.2326657712992</v>
      </c>
      <c r="L194" s="304">
        <f t="shared" ca="1" si="58"/>
        <v>374.68688465820549</v>
      </c>
      <c r="M194" s="306">
        <f t="shared" ca="1" si="74"/>
        <v>1.3783578901668974</v>
      </c>
      <c r="N194" s="304">
        <f t="shared" ca="1" si="75"/>
        <v>78.974089765119899</v>
      </c>
      <c r="P194" s="310">
        <f t="shared" ca="1" si="76"/>
        <v>5</v>
      </c>
      <c r="Q194" s="304">
        <f t="shared" ca="1" si="77"/>
        <v>601.32999999999981</v>
      </c>
      <c r="R194" s="306">
        <f t="shared" ca="1" si="78"/>
        <v>0.30177951000063147</v>
      </c>
      <c r="S194" s="307">
        <f t="shared" ca="1" si="79"/>
        <v>5.3291915982063482</v>
      </c>
      <c r="T194" s="304">
        <f t="shared" ca="1" si="59"/>
        <v>52.279369578404278</v>
      </c>
      <c r="U194" s="311">
        <f t="shared" ca="1" si="60"/>
        <v>0</v>
      </c>
      <c r="V194" s="306">
        <f t="shared" ca="1" si="61"/>
        <v>1.1807070048273864</v>
      </c>
      <c r="W194" s="304">
        <f t="shared" ca="1" si="62"/>
        <v>282.64005876723058</v>
      </c>
      <c r="Y194" s="314" t="str">
        <f t="shared" ca="1" si="80"/>
        <v/>
      </c>
      <c r="Z194" s="315" t="str">
        <f t="shared" ca="1" si="81"/>
        <v/>
      </c>
      <c r="AA194" s="316" t="str">
        <f t="shared" ca="1" si="82"/>
        <v/>
      </c>
      <c r="AC194" s="310" t="e">
        <f t="shared" ca="1" si="83"/>
        <v>#N/A</v>
      </c>
      <c r="AD194" s="323" t="e">
        <f t="shared" ca="1" si="84"/>
        <v>#N/A</v>
      </c>
      <c r="AE194" s="324">
        <f t="shared" ca="1" si="63"/>
        <v>368.2326657712992</v>
      </c>
      <c r="AG194" s="306">
        <f t="shared" ca="1" si="85"/>
        <v>50.354131551675586</v>
      </c>
      <c r="AH194" s="304">
        <f t="shared" ca="1" si="86"/>
        <v>59.983176280423471</v>
      </c>
    </row>
    <row r="195" spans="1:34" x14ac:dyDescent="0.2">
      <c r="A195" s="347">
        <f t="shared" ca="1" si="64"/>
        <v>0.01</v>
      </c>
      <c r="B195" s="304">
        <f t="shared" ca="1" si="65"/>
        <v>1.9100000000000015</v>
      </c>
      <c r="D195" s="306">
        <f t="shared" ca="1" si="66"/>
        <v>11.391115017474068</v>
      </c>
      <c r="E195" s="307">
        <f t="shared" ca="1" si="67"/>
        <v>48.651047664288946</v>
      </c>
      <c r="F195" s="304">
        <f t="shared" ca="1" si="68"/>
        <v>49.966808384909257</v>
      </c>
      <c r="G195" s="306">
        <f t="shared" ca="1" si="69"/>
        <v>52.063555159810917</v>
      </c>
      <c r="H195" s="307">
        <f t="shared" ca="1" si="70"/>
        <v>267.10049953138878</v>
      </c>
      <c r="I195" s="304">
        <f t="shared" ca="1" si="71"/>
        <v>272.12734266478276</v>
      </c>
      <c r="J195" s="306">
        <f t="shared" ca="1" si="72"/>
        <v>69.76575462578316</v>
      </c>
      <c r="K195" s="307">
        <f t="shared" ca="1" si="73"/>
        <v>370.90123821422986</v>
      </c>
      <c r="L195" s="304">
        <f t="shared" ca="1" si="58"/>
        <v>377.40560280334194</v>
      </c>
      <c r="M195" s="306">
        <f t="shared" ca="1" si="74"/>
        <v>1.3782889448416324</v>
      </c>
      <c r="N195" s="304">
        <f t="shared" ca="1" si="75"/>
        <v>78.97013948896506</v>
      </c>
      <c r="P195" s="310">
        <f t="shared" ca="1" si="76"/>
        <v>5</v>
      </c>
      <c r="Q195" s="304">
        <f t="shared" ca="1" si="77"/>
        <v>599.86999999999978</v>
      </c>
      <c r="R195" s="306">
        <f t="shared" ca="1" si="78"/>
        <v>0.30104680402454354</v>
      </c>
      <c r="S195" s="307">
        <f t="shared" ca="1" si="79"/>
        <v>5.3261811301661028</v>
      </c>
      <c r="T195" s="304">
        <f t="shared" ca="1" si="59"/>
        <v>52.249836886929472</v>
      </c>
      <c r="U195" s="311">
        <f t="shared" ca="1" si="60"/>
        <v>0</v>
      </c>
      <c r="V195" s="306">
        <f t="shared" ca="1" si="61"/>
        <v>1.1803918590543165</v>
      </c>
      <c r="W195" s="304">
        <f t="shared" ca="1" si="62"/>
        <v>283.60441414190734</v>
      </c>
      <c r="Y195" s="314" t="str">
        <f t="shared" ca="1" si="80"/>
        <v/>
      </c>
      <c r="Z195" s="315" t="str">
        <f t="shared" ca="1" si="81"/>
        <v/>
      </c>
      <c r="AA195" s="316" t="str">
        <f t="shared" ca="1" si="82"/>
        <v/>
      </c>
      <c r="AC195" s="310" t="e">
        <f t="shared" ca="1" si="83"/>
        <v>#N/A</v>
      </c>
      <c r="AD195" s="323" t="e">
        <f t="shared" ca="1" si="84"/>
        <v>#N/A</v>
      </c>
      <c r="AE195" s="324">
        <f t="shared" ca="1" si="63"/>
        <v>370.90123821422986</v>
      </c>
      <c r="AG195" s="306">
        <f t="shared" ca="1" si="85"/>
        <v>49.931571657661792</v>
      </c>
      <c r="AH195" s="304">
        <f t="shared" ca="1" si="86"/>
        <v>59.560486862915987</v>
      </c>
    </row>
    <row r="196" spans="1:34" x14ac:dyDescent="0.2">
      <c r="A196" s="347">
        <f t="shared" ca="1" si="64"/>
        <v>0.01</v>
      </c>
      <c r="B196" s="304">
        <f t="shared" ca="1" si="65"/>
        <v>1.9200000000000015</v>
      </c>
      <c r="D196" s="306">
        <f t="shared" ca="1" si="66"/>
        <v>11.31444047188956</v>
      </c>
      <c r="E196" s="307">
        <f t="shared" ca="1" si="67"/>
        <v>48.236222404202785</v>
      </c>
      <c r="F196" s="304">
        <f t="shared" ca="1" si="68"/>
        <v>49.545430818791424</v>
      </c>
      <c r="G196" s="306">
        <f t="shared" ca="1" si="69"/>
        <v>52.176699564529812</v>
      </c>
      <c r="H196" s="307">
        <f t="shared" ca="1" si="70"/>
        <v>267.58286175543083</v>
      </c>
      <c r="I196" s="304">
        <f t="shared" ca="1" si="71"/>
        <v>272.62244200115515</v>
      </c>
      <c r="J196" s="306">
        <f t="shared" ca="1" si="72"/>
        <v>70.286955899404859</v>
      </c>
      <c r="K196" s="307">
        <f t="shared" ca="1" si="73"/>
        <v>373.57465502066395</v>
      </c>
      <c r="L196" s="304">
        <f t="shared" ref="L196:L259" ca="1" si="87">SQRT(pos_x^2+pos_z^2)</f>
        <v>380.12929253533326</v>
      </c>
      <c r="M196" s="306">
        <f t="shared" ca="1" si="74"/>
        <v>1.3782201003743244</v>
      </c>
      <c r="N196" s="304">
        <f t="shared" ca="1" si="75"/>
        <v>78.966194991545478</v>
      </c>
      <c r="P196" s="310">
        <f t="shared" ca="1" si="76"/>
        <v>5</v>
      </c>
      <c r="Q196" s="304">
        <f t="shared" ca="1" si="77"/>
        <v>598.40999999999974</v>
      </c>
      <c r="R196" s="306">
        <f t="shared" ca="1" si="78"/>
        <v>0.30031409804845566</v>
      </c>
      <c r="S196" s="307">
        <f t="shared" ca="1" si="79"/>
        <v>5.3231779891856181</v>
      </c>
      <c r="T196" s="304">
        <f t="shared" ref="T196:T259" ca="1" si="88">m*g</f>
        <v>52.22037607391092</v>
      </c>
      <c r="U196" s="311">
        <f t="shared" ref="U196:U259" ca="1" si="89">IF(pos_xz&lt;L_rampe,Poids*COS(Beta),0)</f>
        <v>0</v>
      </c>
      <c r="V196" s="306">
        <f t="shared" ref="V196:V259" ca="1" si="90">Rho_moyen*(20000-Alt_rampe-pos_z)/(20000+Alt_rampe+pos_z)</f>
        <v>1.1800762239666627</v>
      </c>
      <c r="W196" s="304">
        <f t="shared" ref="W196:W259" ca="1" si="91">1/2*Rho*Sref*Cx*vit_xz^2</f>
        <v>284.56120195892055</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373.57465502066395</v>
      </c>
      <c r="AG196" s="306">
        <f t="shared" ca="1" si="85"/>
        <v>49.509869031708845</v>
      </c>
      <c r="AH196" s="304">
        <f t="shared" ca="1" si="86"/>
        <v>59.138654859491908</v>
      </c>
    </row>
    <row r="197" spans="1:34" x14ac:dyDescent="0.2">
      <c r="A197" s="347">
        <f t="shared" ref="A197:A260" ca="1" si="93">IF(B196+0.01&lt;=T_ini+ROUNDUP(Temps_fin_propu,0), 0.01, IF(K196&gt;0, 0.1, 0.0001))</f>
        <v>0.01</v>
      </c>
      <c r="B197" s="304">
        <f t="shared" ref="B197:B260" ca="1" si="94">B196+pas</f>
        <v>1.9300000000000015</v>
      </c>
      <c r="D197" s="306">
        <f t="shared" ref="D197:D260" ca="1" si="95">IF(AND(L196&lt;L_rampe,Poussee&lt;Poids*SIN(M196)),0,(-W196+Poussee)/m*COS(M196)-U196/m*SIN(M196))</f>
        <v>11.237868580925237</v>
      </c>
      <c r="E197" s="307">
        <f t="shared" ref="E197:E260" ca="1" si="96">IF(AND(L196&lt;L_rampe,Poussee&lt;Poids*SIN(M196)),0,(-W196+Poussee)/m*SIN(M196)+U196/m*COS(M196)-Poids/m)</f>
        <v>47.822258460434398</v>
      </c>
      <c r="F197" s="304">
        <f t="shared" ref="F197:F260" ca="1" si="97">SQRT(acc_x^2+acc_z^2)</f>
        <v>49.124923353616914</v>
      </c>
      <c r="G197" s="306">
        <f t="shared" ref="G197:G260" ca="1" si="98">G196+acc_x*pas</f>
        <v>52.289078250339067</v>
      </c>
      <c r="H197" s="307">
        <f t="shared" ref="H197:H260" ca="1" si="99">H196+acc_z*pas</f>
        <v>268.06108434003517</v>
      </c>
      <c r="I197" s="304">
        <f t="shared" ref="I197:I260" ca="1" si="100">SQRT(vit_x^2+vit_z^2)</f>
        <v>273.11333296239042</v>
      </c>
      <c r="J197" s="306">
        <f t="shared" ref="J197:J260" ca="1" si="101">J196+0.5*(vit_x+G196)*pas*(K196&gt;=0)</f>
        <v>70.809284788479204</v>
      </c>
      <c r="K197" s="307">
        <f t="shared" ref="K197:K260" ca="1" si="102">K196+0.5*(vit_z+H196)*pas</f>
        <v>376.25287475114129</v>
      </c>
      <c r="L197" s="304">
        <f t="shared" ca="1" si="87"/>
        <v>382.85791172542582</v>
      </c>
      <c r="M197" s="306">
        <f t="shared" ref="M197:M260" ca="1" si="103">IF(AND(L196&gt;L_rampe,G197&gt;0),ATAN2(G197,H197),$M$4)</f>
        <v>1.3781513553759244</v>
      </c>
      <c r="N197" s="304">
        <f t="shared" ref="N197:N260" ca="1" si="104">DEGREES(Beta)</f>
        <v>78.962256193274527</v>
      </c>
      <c r="P197" s="310">
        <f t="shared" ref="P197:P260" ca="1" si="105">MATCH(t-pas/2-T_ini,CdP_t)</f>
        <v>5</v>
      </c>
      <c r="Q197" s="304">
        <f t="shared" ref="Q197:Q260" ca="1" si="106">(INDEX(CdP,2,i_P+1)-INDEX(CdP,2,i_P+0))/(INDEX(CdP,1,i_P+1)-INDEX(CdP,1,i_P+0))*(t-pas/2-T_ini-INDEX(CdP,1,i_P+0))+INDEX(CdP,2,i_P+0)</f>
        <v>596.94999999999982</v>
      </c>
      <c r="R197" s="306">
        <f t="shared" ref="R197:R260" ca="1" si="107">Poussee/(g*ISP)</f>
        <v>0.29958139207236784</v>
      </c>
      <c r="S197" s="307">
        <f t="shared" ref="S197:S260" ca="1" si="108">S196-Débit*pas</f>
        <v>5.3201821752648941</v>
      </c>
      <c r="T197" s="304">
        <f t="shared" ca="1" si="88"/>
        <v>52.190987139348614</v>
      </c>
      <c r="U197" s="311">
        <f t="shared" ca="1" si="89"/>
        <v>0</v>
      </c>
      <c r="V197" s="306">
        <f t="shared" ca="1" si="90"/>
        <v>1.1797601048727389</v>
      </c>
      <c r="W197" s="304">
        <f t="shared" ca="1" si="91"/>
        <v>285.51039788989226</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376.25287475114129</v>
      </c>
      <c r="AG197" s="306">
        <f t="shared" ref="AG197:AG260" ca="1" si="114">IF(AND(L196&lt;L_rampe,Poussee&lt;Poids*SIN(M196)),0,(-W196+Poussee)/m-Poids*SIN(M196)/m)</f>
        <v>49.089031588554249</v>
      </c>
      <c r="AH197" s="304">
        <f t="shared" ref="AH197:AH260" ca="1" si="115">IF(AND(L196&lt;L_rampe,Poussee&lt;Poids*SIN(M196)), g*SIN(M196), (-W196+Poussee)/m)</f>
        <v>58.717688182458772</v>
      </c>
    </row>
    <row r="198" spans="1:34" x14ac:dyDescent="0.2">
      <c r="A198" s="347">
        <f t="shared" ca="1" si="93"/>
        <v>0.01</v>
      </c>
      <c r="B198" s="304">
        <f t="shared" ca="1" si="94"/>
        <v>1.9400000000000015</v>
      </c>
      <c r="D198" s="306">
        <f t="shared" ca="1" si="95"/>
        <v>11.161401215060199</v>
      </c>
      <c r="E198" s="307">
        <f t="shared" ca="1" si="96"/>
        <v>47.409163400414748</v>
      </c>
      <c r="F198" s="304">
        <f t="shared" ca="1" si="97"/>
        <v>48.705293874596137</v>
      </c>
      <c r="G198" s="306">
        <f t="shared" ca="1" si="98"/>
        <v>52.40069226248967</v>
      </c>
      <c r="H198" s="307">
        <f t="shared" ca="1" si="99"/>
        <v>268.5351759740393</v>
      </c>
      <c r="I198" s="304">
        <f t="shared" ca="1" si="100"/>
        <v>273.60002427813561</v>
      </c>
      <c r="J198" s="306">
        <f t="shared" ca="1" si="101"/>
        <v>71.332733641043347</v>
      </c>
      <c r="K198" s="307">
        <f t="shared" ca="1" si="102"/>
        <v>378.93585605271164</v>
      </c>
      <c r="L198" s="304">
        <f t="shared" ca="1" si="87"/>
        <v>385.5914183317692</v>
      </c>
      <c r="M198" s="306">
        <f t="shared" ca="1" si="103"/>
        <v>1.3780827084711496</v>
      </c>
      <c r="N198" s="304">
        <f t="shared" ca="1" si="104"/>
        <v>78.958323015354296</v>
      </c>
      <c r="P198" s="310">
        <f t="shared" ca="1" si="105"/>
        <v>5</v>
      </c>
      <c r="Q198" s="304">
        <f t="shared" ca="1" si="106"/>
        <v>595.48999999999978</v>
      </c>
      <c r="R198" s="306">
        <f t="shared" ca="1" si="107"/>
        <v>0.2988486860962799</v>
      </c>
      <c r="S198" s="307">
        <f t="shared" ca="1" si="108"/>
        <v>5.3171936884039317</v>
      </c>
      <c r="T198" s="304">
        <f t="shared" ca="1" si="88"/>
        <v>52.161670083242569</v>
      </c>
      <c r="U198" s="311">
        <f t="shared" ca="1" si="89"/>
        <v>0</v>
      </c>
      <c r="V198" s="306">
        <f t="shared" ca="1" si="90"/>
        <v>1.1794435070659786</v>
      </c>
      <c r="W198" s="304">
        <f t="shared" ca="1" si="91"/>
        <v>286.45197837049767</v>
      </c>
      <c r="Y198" s="314" t="str">
        <f t="shared" ca="1" si="109"/>
        <v/>
      </c>
      <c r="Z198" s="315" t="str">
        <f t="shared" ca="1" si="110"/>
        <v/>
      </c>
      <c r="AA198" s="316" t="str">
        <f t="shared" ca="1" si="111"/>
        <v/>
      </c>
      <c r="AC198" s="310" t="e">
        <f t="shared" ca="1" si="112"/>
        <v>#N/A</v>
      </c>
      <c r="AD198" s="323" t="e">
        <f t="shared" ca="1" si="113"/>
        <v>#N/A</v>
      </c>
      <c r="AE198" s="324">
        <f t="shared" ca="1" si="92"/>
        <v>378.93585605271164</v>
      </c>
      <c r="AG198" s="306">
        <f t="shared" ca="1" si="114"/>
        <v>48.66906710891783</v>
      </c>
      <c r="AH198" s="304">
        <f t="shared" ca="1" si="115"/>
        <v>58.297594610128726</v>
      </c>
    </row>
    <row r="199" spans="1:34" x14ac:dyDescent="0.2">
      <c r="A199" s="347">
        <f t="shared" ca="1" si="93"/>
        <v>0.01</v>
      </c>
      <c r="B199" s="304">
        <f t="shared" ca="1" si="94"/>
        <v>1.9500000000000015</v>
      </c>
      <c r="D199" s="306">
        <f t="shared" ca="1" si="95"/>
        <v>11.085040217707833</v>
      </c>
      <c r="E199" s="307">
        <f t="shared" ca="1" si="96"/>
        <v>46.996944660773551</v>
      </c>
      <c r="F199" s="304">
        <f t="shared" ca="1" si="97"/>
        <v>48.286550136409744</v>
      </c>
      <c r="G199" s="306">
        <f t="shared" ca="1" si="98"/>
        <v>52.511542664666749</v>
      </c>
      <c r="H199" s="307">
        <f t="shared" ca="1" si="99"/>
        <v>269.00514542064707</v>
      </c>
      <c r="I199" s="304">
        <f t="shared" ca="1" si="100"/>
        <v>274.08252475451002</v>
      </c>
      <c r="J199" s="306">
        <f t="shared" ca="1" si="101"/>
        <v>71.857294815679126</v>
      </c>
      <c r="K199" s="307">
        <f t="shared" ca="1" si="102"/>
        <v>381.62355765968505</v>
      </c>
      <c r="L199" s="304">
        <f t="shared" ca="1" si="87"/>
        <v>388.32977040018756</v>
      </c>
      <c r="M199" s="306">
        <f t="shared" ca="1" si="103"/>
        <v>1.3780141582982715</v>
      </c>
      <c r="N199" s="304">
        <f t="shared" ca="1" si="104"/>
        <v>78.954395379763483</v>
      </c>
      <c r="P199" s="310">
        <f t="shared" ca="1" si="105"/>
        <v>5</v>
      </c>
      <c r="Q199" s="304">
        <f t="shared" ca="1" si="106"/>
        <v>594.02999999999975</v>
      </c>
      <c r="R199" s="306">
        <f t="shared" ca="1" si="107"/>
        <v>0.29811598012019203</v>
      </c>
      <c r="S199" s="307">
        <f t="shared" ca="1" si="108"/>
        <v>5.31421252860273</v>
      </c>
      <c r="T199" s="304">
        <f t="shared" ca="1" si="88"/>
        <v>52.132424905592785</v>
      </c>
      <c r="U199" s="311">
        <f t="shared" ca="1" si="89"/>
        <v>0</v>
      </c>
      <c r="V199" s="306">
        <f t="shared" ca="1" si="90"/>
        <v>1.1791264358248414</v>
      </c>
      <c r="W199" s="304">
        <f t="shared" ca="1" si="91"/>
        <v>287.3859205951016</v>
      </c>
      <c r="Y199" s="314" t="str">
        <f t="shared" ca="1" si="109"/>
        <v/>
      </c>
      <c r="Z199" s="315" t="str">
        <f t="shared" ca="1" si="110"/>
        <v/>
      </c>
      <c r="AA199" s="316" t="str">
        <f t="shared" ca="1" si="111"/>
        <v/>
      </c>
      <c r="AC199" s="310" t="e">
        <f t="shared" ca="1" si="112"/>
        <v>#N/A</v>
      </c>
      <c r="AD199" s="323" t="e">
        <f t="shared" ca="1" si="113"/>
        <v>#N/A</v>
      </c>
      <c r="AE199" s="324">
        <f t="shared" ca="1" si="92"/>
        <v>381.62355765968505</v>
      </c>
      <c r="AG199" s="306">
        <f t="shared" ca="1" si="114"/>
        <v>48.249983240017563</v>
      </c>
      <c r="AH199" s="304">
        <f t="shared" ca="1" si="115"/>
        <v>57.878381787333936</v>
      </c>
    </row>
    <row r="200" spans="1:34" x14ac:dyDescent="0.2">
      <c r="A200" s="347">
        <f t="shared" ca="1" si="93"/>
        <v>0.01</v>
      </c>
      <c r="B200" s="304">
        <f t="shared" ca="1" si="94"/>
        <v>1.9600000000000015</v>
      </c>
      <c r="D200" s="306">
        <f t="shared" ca="1" si="95"/>
        <v>11.008787405317049</v>
      </c>
      <c r="E200" s="307">
        <f t="shared" ca="1" si="96"/>
        <v>46.585609547859271</v>
      </c>
      <c r="F200" s="304">
        <f t="shared" ca="1" si="97"/>
        <v>47.868699763844262</v>
      </c>
      <c r="G200" s="306">
        <f t="shared" ca="1" si="98"/>
        <v>52.62163053871992</v>
      </c>
      <c r="H200" s="307">
        <f t="shared" ca="1" si="99"/>
        <v>269.47100151612568</v>
      </c>
      <c r="I200" s="304">
        <f t="shared" ca="1" si="100"/>
        <v>274.56084327277506</v>
      </c>
      <c r="J200" s="306">
        <f t="shared" ca="1" si="101"/>
        <v>72.382960681696062</v>
      </c>
      <c r="K200" s="307">
        <f t="shared" ca="1" si="102"/>
        <v>384.31593839436891</v>
      </c>
      <c r="L200" s="304">
        <f t="shared" ca="1" si="87"/>
        <v>391.0729260649378</v>
      </c>
      <c r="M200" s="306">
        <f t="shared" ca="1" si="103"/>
        <v>1.3779457035089053</v>
      </c>
      <c r="N200" s="304">
        <f t="shared" ca="1" si="104"/>
        <v>78.950473209245345</v>
      </c>
      <c r="P200" s="310">
        <f t="shared" ca="1" si="105"/>
        <v>5</v>
      </c>
      <c r="Q200" s="304">
        <f t="shared" ca="1" si="106"/>
        <v>592.56999999999971</v>
      </c>
      <c r="R200" s="306">
        <f t="shared" ca="1" si="107"/>
        <v>0.29738327414410415</v>
      </c>
      <c r="S200" s="307">
        <f t="shared" ca="1" si="108"/>
        <v>5.3112386958612889</v>
      </c>
      <c r="T200" s="304">
        <f t="shared" ca="1" si="88"/>
        <v>52.103251606399247</v>
      </c>
      <c r="U200" s="311">
        <f t="shared" ca="1" si="89"/>
        <v>0</v>
      </c>
      <c r="V200" s="306">
        <f t="shared" ca="1" si="90"/>
        <v>1.1788088964127208</v>
      </c>
      <c r="W200" s="304">
        <f t="shared" ca="1" si="91"/>
        <v>288.31220251134425</v>
      </c>
      <c r="Y200" s="314" t="str">
        <f t="shared" ca="1" si="109"/>
        <v/>
      </c>
      <c r="Z200" s="315" t="str">
        <f t="shared" ca="1" si="110"/>
        <v/>
      </c>
      <c r="AA200" s="316" t="str">
        <f t="shared" ca="1" si="111"/>
        <v/>
      </c>
      <c r="AC200" s="310" t="e">
        <f t="shared" ca="1" si="112"/>
        <v>#N/A</v>
      </c>
      <c r="AD200" s="323" t="e">
        <f t="shared" ca="1" si="113"/>
        <v>#N/A</v>
      </c>
      <c r="AE200" s="324">
        <f t="shared" ca="1" si="92"/>
        <v>384.31593839436891</v>
      </c>
      <c r="AG200" s="306">
        <f t="shared" ca="1" si="114"/>
        <v>47.831787496098649</v>
      </c>
      <c r="AH200" s="304">
        <f t="shared" ca="1" si="115"/>
        <v>57.460057225955346</v>
      </c>
    </row>
    <row r="201" spans="1:34" x14ac:dyDescent="0.2">
      <c r="A201" s="347">
        <f t="shared" ca="1" si="93"/>
        <v>0.01</v>
      </c>
      <c r="B201" s="304">
        <f t="shared" ca="1" si="94"/>
        <v>1.9700000000000015</v>
      </c>
      <c r="D201" s="306">
        <f t="shared" ca="1" si="95"/>
        <v>10.932644567476027</v>
      </c>
      <c r="E201" s="307">
        <f t="shared" ca="1" si="96"/>
        <v>46.175165238273152</v>
      </c>
      <c r="F201" s="304">
        <f t="shared" ca="1" si="97"/>
        <v>47.451750252446878</v>
      </c>
      <c r="G201" s="306">
        <f t="shared" ca="1" si="98"/>
        <v>52.73095698439468</v>
      </c>
      <c r="H201" s="307">
        <f t="shared" ca="1" si="99"/>
        <v>269.93275316850844</v>
      </c>
      <c r="I201" s="304">
        <f t="shared" ca="1" si="100"/>
        <v>275.03498878801037</v>
      </c>
      <c r="J201" s="306">
        <f t="shared" ca="1" si="101"/>
        <v>72.909723619311634</v>
      </c>
      <c r="K201" s="307">
        <f t="shared" ca="1" si="102"/>
        <v>387.01295716779208</v>
      </c>
      <c r="L201" s="304">
        <f t="shared" ca="1" si="87"/>
        <v>393.8208435494542</v>
      </c>
      <c r="M201" s="306">
        <f t="shared" ca="1" si="103"/>
        <v>1.3778773427678048</v>
      </c>
      <c r="N201" s="304">
        <f t="shared" ca="1" si="104"/>
        <v>78.946556427295903</v>
      </c>
      <c r="P201" s="310">
        <f t="shared" ca="1" si="105"/>
        <v>5</v>
      </c>
      <c r="Q201" s="304">
        <f t="shared" ca="1" si="106"/>
        <v>591.10999999999979</v>
      </c>
      <c r="R201" s="306">
        <f t="shared" ca="1" si="107"/>
        <v>0.29665056816801633</v>
      </c>
      <c r="S201" s="307">
        <f t="shared" ca="1" si="108"/>
        <v>5.3082721901796086</v>
      </c>
      <c r="T201" s="304">
        <f t="shared" ca="1" si="88"/>
        <v>52.074150185661964</v>
      </c>
      <c r="U201" s="311">
        <f t="shared" ca="1" si="89"/>
        <v>0</v>
      </c>
      <c r="V201" s="306">
        <f t="shared" ca="1" si="90"/>
        <v>1.1784908940778533</v>
      </c>
      <c r="W201" s="304">
        <f t="shared" ca="1" si="91"/>
        <v>289.23080281468236</v>
      </c>
      <c r="Y201" s="314" t="str">
        <f t="shared" ca="1" si="109"/>
        <v/>
      </c>
      <c r="Z201" s="315" t="str">
        <f t="shared" ca="1" si="110"/>
        <v/>
      </c>
      <c r="AA201" s="316" t="str">
        <f t="shared" ca="1" si="111"/>
        <v/>
      </c>
      <c r="AC201" s="310" t="e">
        <f t="shared" ca="1" si="112"/>
        <v>#N/A</v>
      </c>
      <c r="AD201" s="323" t="e">
        <f t="shared" ca="1" si="113"/>
        <v>#N/A</v>
      </c>
      <c r="AE201" s="324">
        <f t="shared" ca="1" si="92"/>
        <v>387.01295716779208</v>
      </c>
      <c r="AG201" s="306">
        <f t="shared" ca="1" si="114"/>
        <v>47.414487258976834</v>
      </c>
      <c r="AH201" s="304">
        <f t="shared" ca="1" si="115"/>
        <v>57.042628305465662</v>
      </c>
    </row>
    <row r="202" spans="1:34" x14ac:dyDescent="0.2">
      <c r="A202" s="347">
        <f t="shared" ca="1" si="93"/>
        <v>0.01</v>
      </c>
      <c r="B202" s="304">
        <f t="shared" ca="1" si="94"/>
        <v>1.9800000000000015</v>
      </c>
      <c r="D202" s="306">
        <f t="shared" ca="1" si="95"/>
        <v>10.856613467018082</v>
      </c>
      <c r="E202" s="307">
        <f t="shared" ca="1" si="96"/>
        <v>45.765618779415902</v>
      </c>
      <c r="F202" s="304">
        <f t="shared" ca="1" si="97"/>
        <v>47.035708969197692</v>
      </c>
      <c r="G202" s="306">
        <f t="shared" ca="1" si="98"/>
        <v>52.839523119064864</v>
      </c>
      <c r="H202" s="307">
        <f t="shared" ca="1" si="99"/>
        <v>270.3904093563026</v>
      </c>
      <c r="I202" s="304">
        <f t="shared" ca="1" si="100"/>
        <v>275.50497032779475</v>
      </c>
      <c r="J202" s="306">
        <f t="shared" ca="1" si="101"/>
        <v>73.437576019828938</v>
      </c>
      <c r="K202" s="307">
        <f t="shared" ca="1" si="102"/>
        <v>389.71457298041616</v>
      </c>
      <c r="L202" s="304">
        <f t="shared" ca="1" si="87"/>
        <v>396.57348116707993</v>
      </c>
      <c r="M202" s="306">
        <f t="shared" ca="1" si="103"/>
        <v>1.3778090747526601</v>
      </c>
      <c r="N202" s="304">
        <f t="shared" ca="1" si="104"/>
        <v>78.942644958152371</v>
      </c>
      <c r="P202" s="310">
        <f t="shared" ca="1" si="105"/>
        <v>5</v>
      </c>
      <c r="Q202" s="304">
        <f t="shared" ca="1" si="106"/>
        <v>589.64999999999975</v>
      </c>
      <c r="R202" s="306">
        <f t="shared" ca="1" si="107"/>
        <v>0.29591786219192839</v>
      </c>
      <c r="S202" s="307">
        <f t="shared" ca="1" si="108"/>
        <v>5.305313011557689</v>
      </c>
      <c r="T202" s="304">
        <f t="shared" ca="1" si="88"/>
        <v>52.045120643380933</v>
      </c>
      <c r="U202" s="311">
        <f t="shared" ca="1" si="89"/>
        <v>0</v>
      </c>
      <c r="V202" s="306">
        <f t="shared" ca="1" si="90"/>
        <v>1.1781724340532318</v>
      </c>
      <c r="W202" s="304">
        <f t="shared" ca="1" si="91"/>
        <v>290.14170094288335</v>
      </c>
      <c r="Y202" s="314" t="str">
        <f t="shared" ca="1" si="109"/>
        <v/>
      </c>
      <c r="Z202" s="315" t="str">
        <f t="shared" ca="1" si="110"/>
        <v/>
      </c>
      <c r="AA202" s="316" t="str">
        <f t="shared" ca="1" si="111"/>
        <v/>
      </c>
      <c r="AC202" s="310" t="e">
        <f t="shared" ca="1" si="112"/>
        <v>#N/A</v>
      </c>
      <c r="AD202" s="323" t="e">
        <f t="shared" ca="1" si="113"/>
        <v>#N/A</v>
      </c>
      <c r="AE202" s="324">
        <f t="shared" ca="1" si="92"/>
        <v>389.71457298041616</v>
      </c>
      <c r="AG202" s="306">
        <f t="shared" ca="1" si="114"/>
        <v>46.998089778594561</v>
      </c>
      <c r="AH202" s="304">
        <f t="shared" ca="1" si="115"/>
        <v>56.626102273485188</v>
      </c>
    </row>
    <row r="203" spans="1:34" x14ac:dyDescent="0.2">
      <c r="A203" s="347">
        <f t="shared" ca="1" si="93"/>
        <v>0.01</v>
      </c>
      <c r="B203" s="304">
        <f t="shared" ca="1" si="94"/>
        <v>1.9900000000000015</v>
      </c>
      <c r="D203" s="306">
        <f t="shared" ca="1" si="95"/>
        <v>10.780695840129873</v>
      </c>
      <c r="E203" s="307">
        <f t="shared" ca="1" si="96"/>
        <v>45.356977090047813</v>
      </c>
      <c r="F203" s="304">
        <f t="shared" ca="1" si="97"/>
        <v>46.620583153200855</v>
      </c>
      <c r="G203" s="306">
        <f t="shared" ca="1" si="98"/>
        <v>52.947330077466162</v>
      </c>
      <c r="H203" s="307">
        <f t="shared" ca="1" si="99"/>
        <v>270.84397912720306</v>
      </c>
      <c r="I203" s="304">
        <f t="shared" ca="1" si="100"/>
        <v>275.97079699089352</v>
      </c>
      <c r="J203" s="306">
        <f t="shared" ca="1" si="101"/>
        <v>73.966510285811594</v>
      </c>
      <c r="K203" s="307">
        <f t="shared" ca="1" si="102"/>
        <v>392.42074492283371</v>
      </c>
      <c r="L203" s="304">
        <f t="shared" ca="1" si="87"/>
        <v>399.33079732178533</v>
      </c>
      <c r="M203" s="306">
        <f t="shared" ca="1" si="103"/>
        <v>1.3777408981539003</v>
      </c>
      <c r="N203" s="304">
        <f t="shared" ca="1" si="104"/>
        <v>78.938738726781878</v>
      </c>
      <c r="P203" s="310">
        <f t="shared" ca="1" si="105"/>
        <v>5</v>
      </c>
      <c r="Q203" s="304">
        <f t="shared" ca="1" si="106"/>
        <v>588.18999999999971</v>
      </c>
      <c r="R203" s="306">
        <f t="shared" ca="1" si="107"/>
        <v>0.29518515621584052</v>
      </c>
      <c r="S203" s="307">
        <f t="shared" ca="1" si="108"/>
        <v>5.3023611599955309</v>
      </c>
      <c r="T203" s="304">
        <f t="shared" ca="1" si="88"/>
        <v>52.016162979556164</v>
      </c>
      <c r="U203" s="311">
        <f t="shared" ca="1" si="89"/>
        <v>0</v>
      </c>
      <c r="V203" s="306">
        <f t="shared" ca="1" si="90"/>
        <v>1.1778535215565169</v>
      </c>
      <c r="W203" s="304">
        <f t="shared" ca="1" si="91"/>
        <v>291.04487707047718</v>
      </c>
      <c r="Y203" s="314" t="str">
        <f t="shared" ca="1" si="109"/>
        <v/>
      </c>
      <c r="Z203" s="315" t="str">
        <f t="shared" ca="1" si="110"/>
        <v/>
      </c>
      <c r="AA203" s="316" t="str">
        <f t="shared" ca="1" si="111"/>
        <v/>
      </c>
      <c r="AC203" s="310" t="e">
        <f t="shared" ca="1" si="112"/>
        <v>#N/A</v>
      </c>
      <c r="AD203" s="323" t="e">
        <f t="shared" ca="1" si="113"/>
        <v>#N/A</v>
      </c>
      <c r="AE203" s="324">
        <f t="shared" ca="1" si="92"/>
        <v>392.42074492283371</v>
      </c>
      <c r="AG203" s="306">
        <f t="shared" ca="1" si="114"/>
        <v>46.582602173590843</v>
      </c>
      <c r="AH203" s="304">
        <f t="shared" ca="1" si="115"/>
        <v>56.210486246351344</v>
      </c>
    </row>
    <row r="204" spans="1:34" x14ac:dyDescent="0.2">
      <c r="A204" s="347">
        <f t="shared" ca="1" si="93"/>
        <v>0.01</v>
      </c>
      <c r="B204" s="304">
        <f t="shared" ca="1" si="94"/>
        <v>2.0000000000000013</v>
      </c>
      <c r="D204" s="306">
        <f t="shared" ca="1" si="95"/>
        <v>10.704893396461687</v>
      </c>
      <c r="E204" s="307">
        <f t="shared" ca="1" si="96"/>
        <v>44.949246960861181</v>
      </c>
      <c r="F204" s="304">
        <f t="shared" ca="1" si="97"/>
        <v>46.206379916393544</v>
      </c>
      <c r="G204" s="306">
        <f t="shared" ca="1" si="98"/>
        <v>53.054379011430782</v>
      </c>
      <c r="H204" s="307">
        <f t="shared" ca="1" si="99"/>
        <v>271.29347159681168</v>
      </c>
      <c r="I204" s="304">
        <f t="shared" ca="1" si="100"/>
        <v>276.43247794595084</v>
      </c>
      <c r="J204" s="306">
        <f t="shared" ca="1" si="101"/>
        <v>74.496518831256083</v>
      </c>
      <c r="K204" s="307">
        <f t="shared" ca="1" si="102"/>
        <v>395.13143217645376</v>
      </c>
      <c r="L204" s="304">
        <f t="shared" ca="1" si="87"/>
        <v>402.09275050887345</v>
      </c>
      <c r="M204" s="306">
        <f t="shared" ca="1" si="103"/>
        <v>1.3776728116744972</v>
      </c>
      <c r="N204" s="304">
        <f t="shared" ca="1" si="104"/>
        <v>78.93483765887018</v>
      </c>
      <c r="P204" s="310">
        <f t="shared" ca="1" si="105"/>
        <v>5</v>
      </c>
      <c r="Q204" s="304">
        <f t="shared" ca="1" si="106"/>
        <v>586.72999999999979</v>
      </c>
      <c r="R204" s="306">
        <f t="shared" ca="1" si="107"/>
        <v>0.29445245023975269</v>
      </c>
      <c r="S204" s="307">
        <f t="shared" ca="1" si="108"/>
        <v>5.2994166354931336</v>
      </c>
      <c r="T204" s="304">
        <f t="shared" ca="1" si="88"/>
        <v>51.987277194187641</v>
      </c>
      <c r="U204" s="311">
        <f t="shared" ca="1" si="89"/>
        <v>0</v>
      </c>
      <c r="V204" s="306">
        <f t="shared" ca="1" si="90"/>
        <v>1.177534161789954</v>
      </c>
      <c r="W204" s="304">
        <f t="shared" ca="1" si="91"/>
        <v>291.94031210316587</v>
      </c>
      <c r="Y204" s="314" t="str">
        <f t="shared" ca="1" si="109"/>
        <v/>
      </c>
      <c r="Z204" s="315" t="str">
        <f t="shared" ca="1" si="110"/>
        <v/>
      </c>
      <c r="AA204" s="316" t="str">
        <f t="shared" ca="1" si="111"/>
        <v/>
      </c>
      <c r="AC204" s="310">
        <f t="shared" ca="1" si="112"/>
        <v>2.0000000000000013</v>
      </c>
      <c r="AD204" s="323">
        <f t="shared" ca="1" si="113"/>
        <v>74.496518831256083</v>
      </c>
      <c r="AE204" s="324">
        <f t="shared" ca="1" si="92"/>
        <v>395.13143217645376</v>
      </c>
      <c r="AG204" s="306">
        <f t="shared" ca="1" si="114"/>
        <v>46.168031431883549</v>
      </c>
      <c r="AH204" s="304">
        <f t="shared" ca="1" si="115"/>
        <v>55.795787209700642</v>
      </c>
    </row>
    <row r="205" spans="1:34" x14ac:dyDescent="0.2">
      <c r="A205" s="347">
        <f t="shared" ca="1" si="93"/>
        <v>0.01</v>
      </c>
      <c r="B205" s="304">
        <f t="shared" ca="1" si="94"/>
        <v>2.0100000000000011</v>
      </c>
      <c r="D205" s="306">
        <f t="shared" ca="1" si="95"/>
        <v>10.629207819240026</v>
      </c>
      <c r="E205" s="307">
        <f t="shared" ca="1" si="96"/>
        <v>44.542435055065134</v>
      </c>
      <c r="F205" s="304">
        <f t="shared" ca="1" si="97"/>
        <v>45.793106244273154</v>
      </c>
      <c r="G205" s="306">
        <f t="shared" ca="1" si="98"/>
        <v>53.160671089623186</v>
      </c>
      <c r="H205" s="307">
        <f t="shared" ca="1" si="99"/>
        <v>271.73889594736232</v>
      </c>
      <c r="I205" s="304">
        <f t="shared" ca="1" si="100"/>
        <v>276.89002243018888</v>
      </c>
      <c r="J205" s="306">
        <f t="shared" ca="1" si="101"/>
        <v>75.02759408176135</v>
      </c>
      <c r="K205" s="307">
        <f t="shared" ca="1" si="102"/>
        <v>397.84659401417463</v>
      </c>
      <c r="L205" s="304">
        <f t="shared" ca="1" si="87"/>
        <v>404.85929931567216</v>
      </c>
      <c r="M205" s="306">
        <f t="shared" ca="1" si="103"/>
        <v>1.377604814029775</v>
      </c>
      <c r="N205" s="304">
        <f t="shared" ca="1" si="104"/>
        <v>78.930941680810761</v>
      </c>
      <c r="P205" s="310">
        <f t="shared" ca="1" si="105"/>
        <v>6</v>
      </c>
      <c r="Q205" s="304">
        <f t="shared" ca="1" si="106"/>
        <v>585.26999999999987</v>
      </c>
      <c r="R205" s="306">
        <f t="shared" ca="1" si="107"/>
        <v>0.29371974426366482</v>
      </c>
      <c r="S205" s="307">
        <f t="shared" ca="1" si="108"/>
        <v>5.2964794380504969</v>
      </c>
      <c r="T205" s="304">
        <f t="shared" ca="1" si="88"/>
        <v>51.958463287275379</v>
      </c>
      <c r="U205" s="311">
        <f t="shared" ca="1" si="89"/>
        <v>0</v>
      </c>
      <c r="V205" s="306">
        <f t="shared" ca="1" si="90"/>
        <v>1.1772143599402907</v>
      </c>
      <c r="W205" s="304">
        <f t="shared" ca="1" si="91"/>
        <v>292.82798767219407</v>
      </c>
      <c r="Y205" s="314" t="str">
        <f t="shared" ca="1" si="109"/>
        <v/>
      </c>
      <c r="Z205" s="315" t="str">
        <f t="shared" ca="1" si="110"/>
        <v/>
      </c>
      <c r="AA205" s="316" t="str">
        <f t="shared" ca="1" si="111"/>
        <v/>
      </c>
      <c r="AC205" s="310" t="e">
        <f t="shared" ca="1" si="112"/>
        <v>#N/A</v>
      </c>
      <c r="AD205" s="323" t="e">
        <f t="shared" ca="1" si="113"/>
        <v>#N/A</v>
      </c>
      <c r="AE205" s="324">
        <f t="shared" ca="1" si="92"/>
        <v>397.84659401417463</v>
      </c>
      <c r="AG205" s="306">
        <f t="shared" ca="1" si="114"/>
        <v>45.754384411264262</v>
      </c>
      <c r="AH205" s="304">
        <f t="shared" ca="1" si="115"/>
        <v>55.382012019063254</v>
      </c>
    </row>
    <row r="206" spans="1:34" x14ac:dyDescent="0.2">
      <c r="A206" s="347">
        <f t="shared" ca="1" si="93"/>
        <v>0.01</v>
      </c>
      <c r="B206" s="304">
        <f t="shared" ca="1" si="94"/>
        <v>2.0200000000000009</v>
      </c>
      <c r="D206" s="306">
        <f t="shared" ca="1" si="95"/>
        <v>10.553640765382118</v>
      </c>
      <c r="E206" s="307">
        <f t="shared" ca="1" si="96"/>
        <v>44.136547908982379</v>
      </c>
      <c r="F206" s="304">
        <f t="shared" ca="1" si="97"/>
        <v>45.38076899664253</v>
      </c>
      <c r="G206" s="306">
        <f t="shared" ca="1" si="98"/>
        <v>53.266207497277009</v>
      </c>
      <c r="H206" s="307">
        <f t="shared" ca="1" si="99"/>
        <v>272.18026142645215</v>
      </c>
      <c r="I206" s="304">
        <f t="shared" ca="1" si="100"/>
        <v>277.3434397481123</v>
      </c>
      <c r="J206" s="306">
        <f t="shared" ca="1" si="101"/>
        <v>75.559728474695845</v>
      </c>
      <c r="K206" s="307">
        <f t="shared" ca="1" si="102"/>
        <v>400.56618980104372</v>
      </c>
      <c r="L206" s="304">
        <f t="shared" ca="1" si="87"/>
        <v>407.63040242221331</v>
      </c>
      <c r="M206" s="306">
        <f t="shared" ca="1" si="103"/>
        <v>1.3775369039472223</v>
      </c>
      <c r="N206" s="304">
        <f t="shared" ca="1" si="104"/>
        <v>78.927050719694108</v>
      </c>
      <c r="P206" s="310">
        <f t="shared" ca="1" si="105"/>
        <v>6</v>
      </c>
      <c r="Q206" s="304">
        <f t="shared" ca="1" si="106"/>
        <v>583.80999999999983</v>
      </c>
      <c r="R206" s="306">
        <f t="shared" ca="1" si="107"/>
        <v>0.29298703828757694</v>
      </c>
      <c r="S206" s="307">
        <f t="shared" ca="1" si="108"/>
        <v>5.293549567667621</v>
      </c>
      <c r="T206" s="304">
        <f t="shared" ca="1" si="88"/>
        <v>51.929721258819363</v>
      </c>
      <c r="U206" s="311">
        <f t="shared" ca="1" si="89"/>
        <v>0</v>
      </c>
      <c r="V206" s="306">
        <f t="shared" ca="1" si="90"/>
        <v>1.1768941211786963</v>
      </c>
      <c r="W206" s="304">
        <f t="shared" ca="1" si="91"/>
        <v>293.70788612868046</v>
      </c>
      <c r="Y206" s="314" t="str">
        <f t="shared" ca="1" si="109"/>
        <v/>
      </c>
      <c r="Z206" s="315" t="str">
        <f t="shared" ca="1" si="110"/>
        <v/>
      </c>
      <c r="AA206" s="316" t="str">
        <f t="shared" ca="1" si="111"/>
        <v/>
      </c>
      <c r="AC206" s="310" t="e">
        <f t="shared" ca="1" si="112"/>
        <v>#N/A</v>
      </c>
      <c r="AD206" s="323" t="e">
        <f t="shared" ca="1" si="113"/>
        <v>#N/A</v>
      </c>
      <c r="AE206" s="324">
        <f t="shared" ca="1" si="92"/>
        <v>400.56618980104372</v>
      </c>
      <c r="AG206" s="306">
        <f t="shared" ca="1" si="114"/>
        <v>45.341667840005343</v>
      </c>
      <c r="AH206" s="304">
        <f t="shared" ca="1" si="115"/>
        <v>54.969167400469757</v>
      </c>
    </row>
    <row r="207" spans="1:34" x14ac:dyDescent="0.2">
      <c r="A207" s="347">
        <f t="shared" ca="1" si="93"/>
        <v>0.01</v>
      </c>
      <c r="B207" s="304">
        <f t="shared" ca="1" si="94"/>
        <v>2.0300000000000007</v>
      </c>
      <c r="D207" s="306">
        <f t="shared" ca="1" si="95"/>
        <v>10.478193865612635</v>
      </c>
      <c r="E207" s="307">
        <f t="shared" ca="1" si="96"/>
        <v>43.73159193265802</v>
      </c>
      <c r="F207" s="304">
        <f t="shared" ca="1" si="97"/>
        <v>44.96937490837383</v>
      </c>
      <c r="G207" s="306">
        <f t="shared" ca="1" si="98"/>
        <v>53.370989435933133</v>
      </c>
      <c r="H207" s="307">
        <f t="shared" ca="1" si="99"/>
        <v>272.61757734577873</v>
      </c>
      <c r="I207" s="304">
        <f t="shared" ca="1" si="100"/>
        <v>277.79273927021944</v>
      </c>
      <c r="J207" s="306">
        <f t="shared" ca="1" si="101"/>
        <v>76.092914459361893</v>
      </c>
      <c r="K207" s="307">
        <f t="shared" ca="1" si="102"/>
        <v>403.29017899490486</v>
      </c>
      <c r="L207" s="304">
        <f t="shared" ca="1" si="87"/>
        <v>410.40601860189884</v>
      </c>
      <c r="M207" s="306">
        <f t="shared" ca="1" si="103"/>
        <v>1.3774690801663068</v>
      </c>
      <c r="N207" s="304">
        <f t="shared" ca="1" si="104"/>
        <v>78.923164703297033</v>
      </c>
      <c r="P207" s="310">
        <f t="shared" ca="1" si="105"/>
        <v>6</v>
      </c>
      <c r="Q207" s="304">
        <f t="shared" ca="1" si="106"/>
        <v>582.34999999999991</v>
      </c>
      <c r="R207" s="306">
        <f t="shared" ca="1" si="107"/>
        <v>0.29225433231148912</v>
      </c>
      <c r="S207" s="307">
        <f t="shared" ca="1" si="108"/>
        <v>5.2906270243445057</v>
      </c>
      <c r="T207" s="304">
        <f t="shared" ca="1" si="88"/>
        <v>51.901051108819601</v>
      </c>
      <c r="U207" s="311">
        <f t="shared" ca="1" si="89"/>
        <v>0</v>
      </c>
      <c r="V207" s="306">
        <f t="shared" ca="1" si="90"/>
        <v>1.1765734506606822</v>
      </c>
      <c r="W207" s="304">
        <f t="shared" ca="1" si="91"/>
        <v>294.57999053791252</v>
      </c>
      <c r="Y207" s="314" t="str">
        <f t="shared" ca="1" si="109"/>
        <v/>
      </c>
      <c r="Z207" s="315" t="str">
        <f t="shared" ca="1" si="110"/>
        <v/>
      </c>
      <c r="AA207" s="316" t="str">
        <f t="shared" ca="1" si="111"/>
        <v/>
      </c>
      <c r="AC207" s="310" t="e">
        <f t="shared" ca="1" si="112"/>
        <v>#N/A</v>
      </c>
      <c r="AD207" s="323" t="e">
        <f t="shared" ca="1" si="113"/>
        <v>#N/A</v>
      </c>
      <c r="AE207" s="324">
        <f t="shared" ca="1" si="92"/>
        <v>403.29017899490486</v>
      </c>
      <c r="AG207" s="306">
        <f t="shared" ca="1" si="114"/>
        <v>44.929888317479183</v>
      </c>
      <c r="AH207" s="304">
        <f t="shared" ca="1" si="115"/>
        <v>54.557259951070058</v>
      </c>
    </row>
    <row r="208" spans="1:34" x14ac:dyDescent="0.2">
      <c r="A208" s="347">
        <f t="shared" ca="1" si="93"/>
        <v>0.01</v>
      </c>
      <c r="B208" s="304">
        <f t="shared" ca="1" si="94"/>
        <v>2.0400000000000005</v>
      </c>
      <c r="D208" s="306">
        <f t="shared" ca="1" si="95"/>
        <v>10.402868724582378</v>
      </c>
      <c r="E208" s="307">
        <f t="shared" ca="1" si="96"/>
        <v>43.327573410479452</v>
      </c>
      <c r="F208" s="304">
        <f t="shared" ca="1" si="97"/>
        <v>44.558930590190116</v>
      </c>
      <c r="G208" s="306">
        <f t="shared" ca="1" si="98"/>
        <v>53.475018123178955</v>
      </c>
      <c r="H208" s="307">
        <f t="shared" ca="1" si="99"/>
        <v>273.0508530798835</v>
      </c>
      <c r="I208" s="304">
        <f t="shared" ca="1" si="100"/>
        <v>278.23793043171963</v>
      </c>
      <c r="J208" s="306">
        <f t="shared" ca="1" si="101"/>
        <v>76.62714449715746</v>
      </c>
      <c r="K208" s="307">
        <f t="shared" ca="1" si="102"/>
        <v>406.0185211470332</v>
      </c>
      <c r="L208" s="304">
        <f t="shared" ca="1" si="87"/>
        <v>413.18610672215505</v>
      </c>
      <c r="M208" s="306">
        <f t="shared" ca="1" si="103"/>
        <v>1.3774013414382942</v>
      </c>
      <c r="N208" s="304">
        <f t="shared" ca="1" si="104"/>
        <v>78.91928356007233</v>
      </c>
      <c r="P208" s="310">
        <f t="shared" ca="1" si="105"/>
        <v>6</v>
      </c>
      <c r="Q208" s="304">
        <f t="shared" ca="1" si="106"/>
        <v>580.88999999999987</v>
      </c>
      <c r="R208" s="306">
        <f t="shared" ca="1" si="107"/>
        <v>0.29152162633540124</v>
      </c>
      <c r="S208" s="307">
        <f t="shared" ca="1" si="108"/>
        <v>5.287711808081152</v>
      </c>
      <c r="T208" s="304">
        <f t="shared" ca="1" si="88"/>
        <v>51.872452837276107</v>
      </c>
      <c r="U208" s="311">
        <f t="shared" ca="1" si="89"/>
        <v>0</v>
      </c>
      <c r="V208" s="306">
        <f t="shared" ca="1" si="90"/>
        <v>1.1762523535260265</v>
      </c>
      <c r="W208" s="304">
        <f t="shared" ca="1" si="91"/>
        <v>295.44428467360802</v>
      </c>
      <c r="Y208" s="314" t="str">
        <f t="shared" ca="1" si="109"/>
        <v/>
      </c>
      <c r="Z208" s="315" t="str">
        <f t="shared" ca="1" si="110"/>
        <v/>
      </c>
      <c r="AA208" s="316" t="str">
        <f t="shared" ca="1" si="111"/>
        <v/>
      </c>
      <c r="AC208" s="310" t="e">
        <f t="shared" ca="1" si="112"/>
        <v>#N/A</v>
      </c>
      <c r="AD208" s="323" t="e">
        <f t="shared" ca="1" si="113"/>
        <v>#N/A</v>
      </c>
      <c r="AE208" s="324">
        <f t="shared" ca="1" si="92"/>
        <v>406.0185211470332</v>
      </c>
      <c r="AG208" s="306">
        <f t="shared" ca="1" si="114"/>
        <v>44.519052314788759</v>
      </c>
      <c r="AH208" s="304">
        <f t="shared" ca="1" si="115"/>
        <v>54.146296139763685</v>
      </c>
    </row>
    <row r="209" spans="1:34" x14ac:dyDescent="0.2">
      <c r="A209" s="347">
        <f t="shared" ca="1" si="93"/>
        <v>0.01</v>
      </c>
      <c r="B209" s="304">
        <f t="shared" ca="1" si="94"/>
        <v>2.0500000000000003</v>
      </c>
      <c r="D209" s="306">
        <f t="shared" ca="1" si="95"/>
        <v>10.327666920988923</v>
      </c>
      <c r="E209" s="307">
        <f t="shared" ca="1" si="96"/>
        <v>42.92449850180769</v>
      </c>
      <c r="F209" s="304">
        <f t="shared" ca="1" si="97"/>
        <v>44.149442529465524</v>
      </c>
      <c r="G209" s="306">
        <f t="shared" ca="1" si="98"/>
        <v>53.578294792388846</v>
      </c>
      <c r="H209" s="307">
        <f t="shared" ca="1" si="99"/>
        <v>273.4800980649016</v>
      </c>
      <c r="I209" s="304">
        <f t="shared" ca="1" si="100"/>
        <v>278.67902273125674</v>
      </c>
      <c r="J209" s="306">
        <f t="shared" ca="1" si="101"/>
        <v>77.162411061735298</v>
      </c>
      <c r="K209" s="307">
        <f t="shared" ca="1" si="102"/>
        <v>408.7511759027571</v>
      </c>
      <c r="L209" s="304">
        <f t="shared" ca="1" si="87"/>
        <v>415.97062574507214</v>
      </c>
      <c r="M209" s="306">
        <f t="shared" ca="1" si="103"/>
        <v>1.3773336865260704</v>
      </c>
      <c r="N209" s="304">
        <f t="shared" ca="1" si="104"/>
        <v>78.915407219138572</v>
      </c>
      <c r="P209" s="310">
        <f t="shared" ca="1" si="105"/>
        <v>6</v>
      </c>
      <c r="Q209" s="304">
        <f t="shared" ca="1" si="106"/>
        <v>579.42999999999995</v>
      </c>
      <c r="R209" s="306">
        <f t="shared" ca="1" si="107"/>
        <v>0.29078892035931336</v>
      </c>
      <c r="S209" s="307">
        <f t="shared" ca="1" si="108"/>
        <v>5.2848039188775591</v>
      </c>
      <c r="T209" s="304">
        <f t="shared" ca="1" si="88"/>
        <v>51.84392644418886</v>
      </c>
      <c r="U209" s="311">
        <f t="shared" ca="1" si="89"/>
        <v>0</v>
      </c>
      <c r="V209" s="306">
        <f t="shared" ca="1" si="90"/>
        <v>1.1759308348986983</v>
      </c>
      <c r="W209" s="304">
        <f t="shared" ca="1" si="91"/>
        <v>296.30075301214072</v>
      </c>
      <c r="Y209" s="314" t="str">
        <f t="shared" ca="1" si="109"/>
        <v/>
      </c>
      <c r="Z209" s="315" t="str">
        <f t="shared" ca="1" si="110"/>
        <v/>
      </c>
      <c r="AA209" s="316" t="str">
        <f t="shared" ca="1" si="111"/>
        <v/>
      </c>
      <c r="AC209" s="310" t="e">
        <f t="shared" ca="1" si="112"/>
        <v>#N/A</v>
      </c>
      <c r="AD209" s="323" t="e">
        <f t="shared" ca="1" si="113"/>
        <v>#N/A</v>
      </c>
      <c r="AE209" s="324">
        <f t="shared" ca="1" si="92"/>
        <v>408.7511759027571</v>
      </c>
      <c r="AG209" s="306">
        <f t="shared" ca="1" si="114"/>
        <v>44.109166175409719</v>
      </c>
      <c r="AH209" s="304">
        <f t="shared" ca="1" si="115"/>
        <v>53.736282307841563</v>
      </c>
    </row>
    <row r="210" spans="1:34" x14ac:dyDescent="0.2">
      <c r="A210" s="347">
        <f t="shared" ca="1" si="93"/>
        <v>0.01</v>
      </c>
      <c r="B210" s="304">
        <f t="shared" ca="1" si="94"/>
        <v>2.06</v>
      </c>
      <c r="D210" s="306">
        <f t="shared" ca="1" si="95"/>
        <v>10.252590007699208</v>
      </c>
      <c r="E210" s="307">
        <f t="shared" ca="1" si="96"/>
        <v>42.522373241619476</v>
      </c>
      <c r="F210" s="304">
        <f t="shared" ca="1" si="97"/>
        <v>43.740917091043826</v>
      </c>
      <c r="G210" s="306">
        <f t="shared" ca="1" si="98"/>
        <v>53.680820692465836</v>
      </c>
      <c r="H210" s="307">
        <f t="shared" ca="1" si="99"/>
        <v>273.90532179731781</v>
      </c>
      <c r="I210" s="304">
        <f t="shared" ca="1" si="100"/>
        <v>279.11602572963972</v>
      </c>
      <c r="J210" s="306">
        <f t="shared" ca="1" si="101"/>
        <v>77.698706639159568</v>
      </c>
      <c r="K210" s="307">
        <f t="shared" ca="1" si="102"/>
        <v>411.48810300206821</v>
      </c>
      <c r="L210" s="304">
        <f t="shared" ca="1" si="87"/>
        <v>418.75953472803326</v>
      </c>
      <c r="M210" s="306">
        <f t="shared" ca="1" si="103"/>
        <v>1.3772661142039653</v>
      </c>
      <c r="N210" s="304">
        <f t="shared" ca="1" si="104"/>
        <v>78.91153561027005</v>
      </c>
      <c r="P210" s="310">
        <f t="shared" ca="1" si="105"/>
        <v>6</v>
      </c>
      <c r="Q210" s="304">
        <f t="shared" ca="1" si="106"/>
        <v>577.97</v>
      </c>
      <c r="R210" s="306">
        <f t="shared" ca="1" si="107"/>
        <v>0.29005621438322554</v>
      </c>
      <c r="S210" s="307">
        <f t="shared" ca="1" si="108"/>
        <v>5.2819033567337268</v>
      </c>
      <c r="T210" s="304">
        <f t="shared" ca="1" si="88"/>
        <v>51.815471929557866</v>
      </c>
      <c r="U210" s="311">
        <f t="shared" ca="1" si="89"/>
        <v>0</v>
      </c>
      <c r="V210" s="306">
        <f t="shared" ca="1" si="90"/>
        <v>1.1756088998867851</v>
      </c>
      <c r="W210" s="304">
        <f t="shared" ca="1" si="91"/>
        <v>297.14938072673698</v>
      </c>
      <c r="Y210" s="314" t="str">
        <f t="shared" ca="1" si="109"/>
        <v/>
      </c>
      <c r="Z210" s="315" t="str">
        <f t="shared" ca="1" si="110"/>
        <v/>
      </c>
      <c r="AA210" s="316" t="str">
        <f t="shared" ca="1" si="111"/>
        <v/>
      </c>
      <c r="AC210" s="310" t="e">
        <f t="shared" ca="1" si="112"/>
        <v>#N/A</v>
      </c>
      <c r="AD210" s="323" t="e">
        <f t="shared" ca="1" si="113"/>
        <v>#N/A</v>
      </c>
      <c r="AE210" s="324">
        <f t="shared" ca="1" si="92"/>
        <v>411.48810300206821</v>
      </c>
      <c r="AG210" s="306">
        <f t="shared" ca="1" si="114"/>
        <v>43.700236115843545</v>
      </c>
      <c r="AH210" s="304">
        <f t="shared" ca="1" si="115"/>
        <v>53.327224669638902</v>
      </c>
    </row>
    <row r="211" spans="1:34" x14ac:dyDescent="0.2">
      <c r="A211" s="347">
        <f t="shared" ca="1" si="93"/>
        <v>0.01</v>
      </c>
      <c r="B211" s="304">
        <f t="shared" ca="1" si="94"/>
        <v>2.0699999999999998</v>
      </c>
      <c r="D211" s="306">
        <f t="shared" ca="1" si="95"/>
        <v>10.177639511874045</v>
      </c>
      <c r="E211" s="307">
        <f t="shared" ca="1" si="96"/>
        <v>42.12120354116</v>
      </c>
      <c r="F211" s="304">
        <f t="shared" ca="1" si="97"/>
        <v>43.333360518075324</v>
      </c>
      <c r="G211" s="306">
        <f t="shared" ca="1" si="98"/>
        <v>53.782597087584577</v>
      </c>
      <c r="H211" s="307">
        <f t="shared" ca="1" si="99"/>
        <v>274.32653383272941</v>
      </c>
      <c r="I211" s="304">
        <f t="shared" ca="1" si="100"/>
        <v>279.54894904857912</v>
      </c>
      <c r="J211" s="306">
        <f t="shared" ca="1" si="101"/>
        <v>78.23602372805982</v>
      </c>
      <c r="K211" s="307">
        <f t="shared" ca="1" si="102"/>
        <v>414.22926228021845</v>
      </c>
      <c r="L211" s="304">
        <f t="shared" ca="1" si="87"/>
        <v>421.55279282432889</v>
      </c>
      <c r="M211" s="306">
        <f t="shared" ca="1" si="103"/>
        <v>1.3771986232575815</v>
      </c>
      <c r="N211" s="304">
        <f t="shared" ca="1" si="104"/>
        <v>78.907668663886923</v>
      </c>
      <c r="P211" s="310">
        <f t="shared" ca="1" si="105"/>
        <v>6</v>
      </c>
      <c r="Q211" s="304">
        <f t="shared" ca="1" si="106"/>
        <v>576.51</v>
      </c>
      <c r="R211" s="306">
        <f t="shared" ca="1" si="107"/>
        <v>0.28932350840713766</v>
      </c>
      <c r="S211" s="307">
        <f t="shared" ca="1" si="108"/>
        <v>5.2790101216496552</v>
      </c>
      <c r="T211" s="304">
        <f t="shared" ca="1" si="88"/>
        <v>51.787089293383119</v>
      </c>
      <c r="U211" s="311">
        <f t="shared" ca="1" si="89"/>
        <v>0</v>
      </c>
      <c r="V211" s="306">
        <f t="shared" ca="1" si="90"/>
        <v>1.1752865535824213</v>
      </c>
      <c r="W211" s="304">
        <f t="shared" ca="1" si="91"/>
        <v>297.99015368164004</v>
      </c>
      <c r="Y211" s="314" t="str">
        <f t="shared" ca="1" si="109"/>
        <v/>
      </c>
      <c r="Z211" s="315" t="str">
        <f t="shared" ca="1" si="110"/>
        <v/>
      </c>
      <c r="AA211" s="316" t="str">
        <f t="shared" ca="1" si="111"/>
        <v/>
      </c>
      <c r="AC211" s="310" t="e">
        <f t="shared" ca="1" si="112"/>
        <v>#N/A</v>
      </c>
      <c r="AD211" s="323" t="e">
        <f t="shared" ca="1" si="113"/>
        <v>#N/A</v>
      </c>
      <c r="AE211" s="324">
        <f t="shared" ca="1" si="92"/>
        <v>414.22926228021845</v>
      </c>
      <c r="AG211" s="306">
        <f t="shared" ca="1" si="114"/>
        <v>43.292268226281379</v>
      </c>
      <c r="AH211" s="304">
        <f t="shared" ca="1" si="115"/>
        <v>52.919129313198724</v>
      </c>
    </row>
    <row r="212" spans="1:34" x14ac:dyDescent="0.2">
      <c r="A212" s="347">
        <f t="shared" ca="1" si="93"/>
        <v>0.01</v>
      </c>
      <c r="B212" s="304">
        <f t="shared" ca="1" si="94"/>
        <v>2.0799999999999996</v>
      </c>
      <c r="D212" s="306">
        <f t="shared" ca="1" si="95"/>
        <v>10.102816935094472</v>
      </c>
      <c r="E212" s="307">
        <f t="shared" ca="1" si="96"/>
        <v>41.720995188606196</v>
      </c>
      <c r="F212" s="304">
        <f t="shared" ca="1" si="97"/>
        <v>42.926778932872807</v>
      </c>
      <c r="G212" s="306">
        <f t="shared" ca="1" si="98"/>
        <v>53.883625256935524</v>
      </c>
      <c r="H212" s="307">
        <f t="shared" ca="1" si="99"/>
        <v>274.74374378461545</v>
      </c>
      <c r="I212" s="304">
        <f t="shared" ca="1" si="100"/>
        <v>279.97780236943117</v>
      </c>
      <c r="J212" s="306">
        <f t="shared" ca="1" si="101"/>
        <v>78.774354839782418</v>
      </c>
      <c r="K212" s="307">
        <f t="shared" ca="1" si="102"/>
        <v>416.97461366830515</v>
      </c>
      <c r="L212" s="304">
        <f t="shared" ca="1" si="87"/>
        <v>424.3503592837601</v>
      </c>
      <c r="M212" s="306">
        <f t="shared" ca="1" si="103"/>
        <v>1.3771312124836241</v>
      </c>
      <c r="N212" s="304">
        <f t="shared" ca="1" si="104"/>
        <v>78.903806311045457</v>
      </c>
      <c r="P212" s="310">
        <f t="shared" ca="1" si="105"/>
        <v>6</v>
      </c>
      <c r="Q212" s="304">
        <f t="shared" ca="1" si="106"/>
        <v>575.05000000000007</v>
      </c>
      <c r="R212" s="306">
        <f t="shared" ca="1" si="107"/>
        <v>0.28859080243104984</v>
      </c>
      <c r="S212" s="307">
        <f t="shared" ca="1" si="108"/>
        <v>5.2761242136253443</v>
      </c>
      <c r="T212" s="304">
        <f t="shared" ca="1" si="88"/>
        <v>51.758778535664632</v>
      </c>
      <c r="U212" s="311">
        <f t="shared" ca="1" si="89"/>
        <v>0</v>
      </c>
      <c r="V212" s="306">
        <f t="shared" ca="1" si="90"/>
        <v>1.1749638010617187</v>
      </c>
      <c r="W212" s="304">
        <f t="shared" ca="1" si="91"/>
        <v>298.823058426248</v>
      </c>
      <c r="Y212" s="314" t="str">
        <f t="shared" ca="1" si="109"/>
        <v/>
      </c>
      <c r="Z212" s="315" t="str">
        <f t="shared" ca="1" si="110"/>
        <v/>
      </c>
      <c r="AA212" s="316" t="str">
        <f t="shared" ca="1" si="111"/>
        <v/>
      </c>
      <c r="AC212" s="310" t="e">
        <f t="shared" ca="1" si="112"/>
        <v>#N/A</v>
      </c>
      <c r="AD212" s="323" t="e">
        <f t="shared" ca="1" si="113"/>
        <v>#N/A</v>
      </c>
      <c r="AE212" s="324">
        <f t="shared" ca="1" si="92"/>
        <v>416.97461366830515</v>
      </c>
      <c r="AG212" s="306">
        <f t="shared" ca="1" si="114"/>
        <v>42.885268471278714</v>
      </c>
      <c r="AH212" s="304">
        <f t="shared" ca="1" si="115"/>
        <v>52.512002200946277</v>
      </c>
    </row>
    <row r="213" spans="1:34" x14ac:dyDescent="0.2">
      <c r="A213" s="347">
        <f t="shared" ca="1" si="93"/>
        <v>0.01</v>
      </c>
      <c r="B213" s="304">
        <f t="shared" ca="1" si="94"/>
        <v>2.0899999999999994</v>
      </c>
      <c r="D213" s="306">
        <f t="shared" ca="1" si="95"/>
        <v>10.028123753489881</v>
      </c>
      <c r="E213" s="307">
        <f t="shared" ca="1" si="96"/>
        <v>41.321753849739622</v>
      </c>
      <c r="F213" s="304">
        <f t="shared" ca="1" si="97"/>
        <v>42.521178337785742</v>
      </c>
      <c r="G213" s="306">
        <f t="shared" ca="1" si="98"/>
        <v>53.983906494470425</v>
      </c>
      <c r="H213" s="307">
        <f t="shared" ca="1" si="99"/>
        <v>275.15696132311285</v>
      </c>
      <c r="I213" s="304">
        <f t="shared" ca="1" si="100"/>
        <v>280.40259543194804</v>
      </c>
      <c r="J213" s="306">
        <f t="shared" ca="1" si="101"/>
        <v>79.313692498539453</v>
      </c>
      <c r="K213" s="307">
        <f t="shared" ca="1" si="102"/>
        <v>419.72411719384377</v>
      </c>
      <c r="L213" s="304">
        <f t="shared" ca="1" si="87"/>
        <v>427.15219345322851</v>
      </c>
      <c r="M213" s="306">
        <f t="shared" ca="1" si="103"/>
        <v>1.377063880689736</v>
      </c>
      <c r="N213" s="304">
        <f t="shared" ca="1" si="104"/>
        <v>78.899948483428616</v>
      </c>
      <c r="P213" s="310">
        <f t="shared" ca="1" si="105"/>
        <v>6</v>
      </c>
      <c r="Q213" s="304">
        <f t="shared" ca="1" si="106"/>
        <v>573.59</v>
      </c>
      <c r="R213" s="306">
        <f t="shared" ca="1" si="107"/>
        <v>0.28785809645496191</v>
      </c>
      <c r="S213" s="307">
        <f t="shared" ca="1" si="108"/>
        <v>5.273245632660795</v>
      </c>
      <c r="T213" s="304">
        <f t="shared" ca="1" si="88"/>
        <v>51.730539656402399</v>
      </c>
      <c r="U213" s="311">
        <f t="shared" ca="1" si="89"/>
        <v>0</v>
      </c>
      <c r="V213" s="306">
        <f t="shared" ca="1" si="90"/>
        <v>1.1746406473846998</v>
      </c>
      <c r="W213" s="304">
        <f t="shared" ca="1" si="91"/>
        <v>299.64808218922337</v>
      </c>
      <c r="Y213" s="314" t="str">
        <f t="shared" ca="1" si="109"/>
        <v/>
      </c>
      <c r="Z213" s="315" t="str">
        <f t="shared" ca="1" si="110"/>
        <v/>
      </c>
      <c r="AA213" s="316" t="str">
        <f t="shared" ca="1" si="111"/>
        <v/>
      </c>
      <c r="AC213" s="310" t="e">
        <f t="shared" ca="1" si="112"/>
        <v>#N/A</v>
      </c>
      <c r="AD213" s="323" t="e">
        <f t="shared" ca="1" si="113"/>
        <v>#N/A</v>
      </c>
      <c r="AE213" s="324">
        <f t="shared" ca="1" si="92"/>
        <v>419.72411719384377</v>
      </c>
      <c r="AG213" s="306">
        <f t="shared" ca="1" si="114"/>
        <v>42.479242690439705</v>
      </c>
      <c r="AH213" s="304">
        <f t="shared" ca="1" si="115"/>
        <v>52.105849170373098</v>
      </c>
    </row>
    <row r="214" spans="1:34" x14ac:dyDescent="0.2">
      <c r="A214" s="347">
        <f t="shared" ca="1" si="93"/>
        <v>0.01</v>
      </c>
      <c r="B214" s="304">
        <f t="shared" ca="1" si="94"/>
        <v>2.0999999999999992</v>
      </c>
      <c r="D214" s="306">
        <f t="shared" ca="1" si="95"/>
        <v>9.9535614178679257</v>
      </c>
      <c r="E214" s="307">
        <f t="shared" ca="1" si="96"/>
        <v>40.923485068629645</v>
      </c>
      <c r="F214" s="304">
        <f t="shared" ca="1" si="97"/>
        <v>42.11656461609401</v>
      </c>
      <c r="G214" s="306">
        <f t="shared" ca="1" si="98"/>
        <v>54.083442108649102</v>
      </c>
      <c r="H214" s="307">
        <f t="shared" ca="1" si="99"/>
        <v>275.56619617379914</v>
      </c>
      <c r="I214" s="304">
        <f t="shared" ca="1" si="100"/>
        <v>280.82333803303521</v>
      </c>
      <c r="J214" s="306">
        <f t="shared" ca="1" si="101"/>
        <v>79.854029241555054</v>
      </c>
      <c r="K214" s="307">
        <f t="shared" ca="1" si="102"/>
        <v>422.4777329813283</v>
      </c>
      <c r="L214" s="304">
        <f t="shared" ca="1" si="87"/>
        <v>429.95825477731398</v>
      </c>
      <c r="M214" s="306">
        <f t="shared" ca="1" si="103"/>
        <v>1.3769966266943321</v>
      </c>
      <c r="N214" s="304">
        <f t="shared" ca="1" si="104"/>
        <v>78.896095113336585</v>
      </c>
      <c r="P214" s="310">
        <f t="shared" ca="1" si="105"/>
        <v>6</v>
      </c>
      <c r="Q214" s="304">
        <f t="shared" ca="1" si="106"/>
        <v>572.13000000000011</v>
      </c>
      <c r="R214" s="306">
        <f t="shared" ca="1" si="107"/>
        <v>0.28712539047887409</v>
      </c>
      <c r="S214" s="307">
        <f t="shared" ca="1" si="108"/>
        <v>5.2703743787560065</v>
      </c>
      <c r="T214" s="304">
        <f t="shared" ca="1" si="88"/>
        <v>51.702372655596427</v>
      </c>
      <c r="U214" s="311">
        <f t="shared" ca="1" si="89"/>
        <v>0</v>
      </c>
      <c r="V214" s="306">
        <f t="shared" ca="1" si="90"/>
        <v>1.1743170975952313</v>
      </c>
      <c r="W214" s="304">
        <f t="shared" ca="1" si="91"/>
        <v>300.46521287257798</v>
      </c>
      <c r="Y214" s="314" t="str">
        <f t="shared" ca="1" si="109"/>
        <v/>
      </c>
      <c r="Z214" s="315" t="str">
        <f t="shared" ca="1" si="110"/>
        <v/>
      </c>
      <c r="AA214" s="316" t="str">
        <f t="shared" ca="1" si="111"/>
        <v/>
      </c>
      <c r="AC214" s="310" t="e">
        <f t="shared" ca="1" si="112"/>
        <v>#N/A</v>
      </c>
      <c r="AD214" s="323" t="e">
        <f t="shared" ca="1" si="113"/>
        <v>#N/A</v>
      </c>
      <c r="AE214" s="324">
        <f t="shared" ca="1" si="92"/>
        <v>422.4777329813283</v>
      </c>
      <c r="AG214" s="306">
        <f t="shared" ca="1" si="114"/>
        <v>42.074196599112064</v>
      </c>
      <c r="AH214" s="304">
        <f t="shared" ca="1" si="115"/>
        <v>51.700675934731613</v>
      </c>
    </row>
    <row r="215" spans="1:34" x14ac:dyDescent="0.2">
      <c r="A215" s="347">
        <f t="shared" ca="1" si="93"/>
        <v>0.01</v>
      </c>
      <c r="B215" s="304">
        <f t="shared" ca="1" si="94"/>
        <v>2.109999999999999</v>
      </c>
      <c r="D215" s="306">
        <f t="shared" ca="1" si="95"/>
        <v>9.8791313538461942</v>
      </c>
      <c r="E215" s="307">
        <f t="shared" ca="1" si="96"/>
        <v>40.52619426832576</v>
      </c>
      <c r="F215" s="304">
        <f t="shared" ca="1" si="97"/>
        <v>41.712943532920647</v>
      </c>
      <c r="G215" s="306">
        <f t="shared" ca="1" si="98"/>
        <v>54.182233422187565</v>
      </c>
      <c r="H215" s="307">
        <f t="shared" ca="1" si="99"/>
        <v>275.97145811648238</v>
      </c>
      <c r="I215" s="304">
        <f t="shared" ca="1" si="100"/>
        <v>281.24004002551595</v>
      </c>
      <c r="J215" s="306">
        <f t="shared" ca="1" si="101"/>
        <v>80.395357619209236</v>
      </c>
      <c r="K215" s="307">
        <f t="shared" ca="1" si="102"/>
        <v>425.2354212527797</v>
      </c>
      <c r="L215" s="304">
        <f t="shared" ca="1" si="87"/>
        <v>432.76850279883996</v>
      </c>
      <c r="M215" s="306">
        <f t="shared" ca="1" si="103"/>
        <v>1.3769294493264406</v>
      </c>
      <c r="N215" s="304">
        <f t="shared" ca="1" si="104"/>
        <v>78.892246133677602</v>
      </c>
      <c r="P215" s="310">
        <f t="shared" ca="1" si="105"/>
        <v>6</v>
      </c>
      <c r="Q215" s="304">
        <f t="shared" ca="1" si="106"/>
        <v>570.67000000000019</v>
      </c>
      <c r="R215" s="306">
        <f t="shared" ca="1" si="107"/>
        <v>0.28639268450278627</v>
      </c>
      <c r="S215" s="307">
        <f t="shared" ca="1" si="108"/>
        <v>5.2675104519109786</v>
      </c>
      <c r="T215" s="304">
        <f t="shared" ca="1" si="88"/>
        <v>51.674277533246702</v>
      </c>
      <c r="U215" s="311">
        <f t="shared" ca="1" si="89"/>
        <v>0</v>
      </c>
      <c r="V215" s="306">
        <f t="shared" ca="1" si="90"/>
        <v>1.1739931567209614</v>
      </c>
      <c r="W215" s="304">
        <f t="shared" ca="1" si="91"/>
        <v>301.27443904573391</v>
      </c>
      <c r="Y215" s="314" t="str">
        <f t="shared" ca="1" si="109"/>
        <v/>
      </c>
      <c r="Z215" s="315" t="str">
        <f t="shared" ca="1" si="110"/>
        <v/>
      </c>
      <c r="AA215" s="316" t="str">
        <f t="shared" ca="1" si="111"/>
        <v/>
      </c>
      <c r="AC215" s="310" t="e">
        <f t="shared" ca="1" si="112"/>
        <v>#N/A</v>
      </c>
      <c r="AD215" s="323" t="e">
        <f t="shared" ca="1" si="113"/>
        <v>#N/A</v>
      </c>
      <c r="AE215" s="324">
        <f t="shared" ca="1" si="92"/>
        <v>425.2354212527797</v>
      </c>
      <c r="AG215" s="306">
        <f t="shared" ca="1" si="114"/>
        <v>41.670135789091191</v>
      </c>
      <c r="AH215" s="304">
        <f t="shared" ca="1" si="115"/>
        <v>51.296488083739014</v>
      </c>
    </row>
    <row r="216" spans="1:34" x14ac:dyDescent="0.2">
      <c r="A216" s="347">
        <f t="shared" ca="1" si="93"/>
        <v>0.01</v>
      </c>
      <c r="B216" s="304">
        <f t="shared" ca="1" si="94"/>
        <v>2.1199999999999988</v>
      </c>
      <c r="D216" s="306">
        <f t="shared" ca="1" si="95"/>
        <v>9.8048349619854882</v>
      </c>
      <c r="E216" s="307">
        <f t="shared" ca="1" si="96"/>
        <v>40.129886751559333</v>
      </c>
      <c r="F216" s="304">
        <f t="shared" ca="1" si="97"/>
        <v>41.310320736164108</v>
      </c>
      <c r="G216" s="306">
        <f t="shared" ca="1" si="98"/>
        <v>54.280281771807417</v>
      </c>
      <c r="H216" s="307">
        <f t="shared" ca="1" si="99"/>
        <v>276.37275698399799</v>
      </c>
      <c r="I216" s="304">
        <f t="shared" ca="1" si="100"/>
        <v>281.65271131690321</v>
      </c>
      <c r="J216" s="306">
        <f t="shared" ca="1" si="101"/>
        <v>80.937670195179209</v>
      </c>
      <c r="K216" s="307">
        <f t="shared" ca="1" si="102"/>
        <v>427.99714232828211</v>
      </c>
      <c r="L216" s="304">
        <f t="shared" ca="1" si="87"/>
        <v>435.58289715942635</v>
      </c>
      <c r="M216" s="306">
        <f t="shared" ca="1" si="103"/>
        <v>1.3768623474255441</v>
      </c>
      <c r="N216" s="304">
        <f t="shared" ca="1" si="104"/>
        <v>78.888401477958922</v>
      </c>
      <c r="P216" s="310">
        <f t="shared" ca="1" si="105"/>
        <v>6</v>
      </c>
      <c r="Q216" s="304">
        <f t="shared" ca="1" si="106"/>
        <v>569.21000000000015</v>
      </c>
      <c r="R216" s="306">
        <f t="shared" ca="1" si="107"/>
        <v>0.28565997852669833</v>
      </c>
      <c r="S216" s="307">
        <f t="shared" ca="1" si="108"/>
        <v>5.2646538521257114</v>
      </c>
      <c r="T216" s="304">
        <f t="shared" ca="1" si="88"/>
        <v>51.64625428935323</v>
      </c>
      <c r="U216" s="311">
        <f t="shared" ca="1" si="89"/>
        <v>0</v>
      </c>
      <c r="V216" s="306">
        <f t="shared" ca="1" si="90"/>
        <v>1.1736688297732563</v>
      </c>
      <c r="W216" s="304">
        <f t="shared" ca="1" si="91"/>
        <v>302.07574993956263</v>
      </c>
      <c r="Y216" s="314" t="str">
        <f t="shared" ca="1" si="109"/>
        <v/>
      </c>
      <c r="Z216" s="315" t="str">
        <f t="shared" ca="1" si="110"/>
        <v/>
      </c>
      <c r="AA216" s="316" t="str">
        <f t="shared" ca="1" si="111"/>
        <v/>
      </c>
      <c r="AC216" s="310" t="e">
        <f t="shared" ca="1" si="112"/>
        <v>#N/A</v>
      </c>
      <c r="AD216" s="323" t="e">
        <f t="shared" ca="1" si="113"/>
        <v>#N/A</v>
      </c>
      <c r="AE216" s="324">
        <f t="shared" ca="1" si="92"/>
        <v>427.99714232828211</v>
      </c>
      <c r="AG216" s="306">
        <f t="shared" ca="1" si="114"/>
        <v>41.267065729333893</v>
      </c>
      <c r="AH216" s="304">
        <f t="shared" ca="1" si="115"/>
        <v>50.893291084290716</v>
      </c>
    </row>
    <row r="217" spans="1:34" x14ac:dyDescent="0.2">
      <c r="A217" s="347">
        <f t="shared" ca="1" si="93"/>
        <v>0.01</v>
      </c>
      <c r="B217" s="304">
        <f t="shared" ca="1" si="94"/>
        <v>2.1299999999999986</v>
      </c>
      <c r="D217" s="306">
        <f t="shared" ca="1" si="95"/>
        <v>9.7306736179247881</v>
      </c>
      <c r="E217" s="307">
        <f t="shared" ca="1" si="96"/>
        <v>39.73456770145431</v>
      </c>
      <c r="F217" s="304">
        <f t="shared" ca="1" si="97"/>
        <v>40.908701757450501</v>
      </c>
      <c r="G217" s="306">
        <f t="shared" ca="1" si="98"/>
        <v>54.377588507986665</v>
      </c>
      <c r="H217" s="307">
        <f t="shared" ca="1" si="99"/>
        <v>276.77010266101252</v>
      </c>
      <c r="I217" s="304">
        <f t="shared" ca="1" si="100"/>
        <v>282.0613618681781</v>
      </c>
      <c r="J217" s="306">
        <f t="shared" ca="1" si="101"/>
        <v>81.480959546578177</v>
      </c>
      <c r="K217" s="307">
        <f t="shared" ca="1" si="102"/>
        <v>430.76285662650719</v>
      </c>
      <c r="L217" s="304">
        <f t="shared" ca="1" si="87"/>
        <v>438.40139760003035</v>
      </c>
      <c r="M217" s="306">
        <f t="shared" ca="1" si="103"/>
        <v>1.376795319841424</v>
      </c>
      <c r="N217" s="304">
        <f t="shared" ca="1" si="104"/>
        <v>78.884561080277891</v>
      </c>
      <c r="P217" s="310">
        <f t="shared" ca="1" si="105"/>
        <v>6</v>
      </c>
      <c r="Q217" s="304">
        <f t="shared" ca="1" si="106"/>
        <v>567.75000000000023</v>
      </c>
      <c r="R217" s="306">
        <f t="shared" ca="1" si="107"/>
        <v>0.28492727255061051</v>
      </c>
      <c r="S217" s="307">
        <f t="shared" ca="1" si="108"/>
        <v>5.2618045794002049</v>
      </c>
      <c r="T217" s="304">
        <f t="shared" ca="1" si="88"/>
        <v>51.618302923916012</v>
      </c>
      <c r="U217" s="311">
        <f t="shared" ca="1" si="89"/>
        <v>0</v>
      </c>
      <c r="V217" s="306">
        <f t="shared" ca="1" si="90"/>
        <v>1.1733441217471405</v>
      </c>
      <c r="W217" s="304">
        <f t="shared" ca="1" si="91"/>
        <v>302.86913544040254</v>
      </c>
      <c r="Y217" s="314" t="str">
        <f t="shared" ca="1" si="109"/>
        <v/>
      </c>
      <c r="Z217" s="315" t="str">
        <f t="shared" ca="1" si="110"/>
        <v/>
      </c>
      <c r="AA217" s="316" t="str">
        <f t="shared" ca="1" si="111"/>
        <v/>
      </c>
      <c r="AC217" s="310" t="e">
        <f t="shared" ca="1" si="112"/>
        <v>#N/A</v>
      </c>
      <c r="AD217" s="323" t="e">
        <f t="shared" ca="1" si="113"/>
        <v>#N/A</v>
      </c>
      <c r="AE217" s="324">
        <f t="shared" ca="1" si="92"/>
        <v>430.76285662650719</v>
      </c>
      <c r="AG217" s="306">
        <f t="shared" ca="1" si="114"/>
        <v>40.864991766681243</v>
      </c>
      <c r="AH217" s="304">
        <f t="shared" ca="1" si="115"/>
        <v>50.491090281182949</v>
      </c>
    </row>
    <row r="218" spans="1:34" x14ac:dyDescent="0.2">
      <c r="A218" s="347">
        <f t="shared" ca="1" si="93"/>
        <v>0.01</v>
      </c>
      <c r="B218" s="304">
        <f t="shared" ca="1" si="94"/>
        <v>2.1399999999999983</v>
      </c>
      <c r="D218" s="306">
        <f t="shared" ca="1" si="95"/>
        <v>9.656648672517818</v>
      </c>
      <c r="E218" s="307">
        <f t="shared" ca="1" si="96"/>
        <v>39.340242182246456</v>
      </c>
      <c r="F218" s="304">
        <f t="shared" ca="1" si="97"/>
        <v>40.508092013105774</v>
      </c>
      <c r="G218" s="306">
        <f t="shared" ca="1" si="98"/>
        <v>54.474154994711846</v>
      </c>
      <c r="H218" s="307">
        <f t="shared" ca="1" si="99"/>
        <v>277.163505082835</v>
      </c>
      <c r="I218" s="304">
        <f t="shared" ca="1" si="100"/>
        <v>282.46600169257641</v>
      </c>
      <c r="J218" s="306">
        <f t="shared" ca="1" si="101"/>
        <v>82.025218264091663</v>
      </c>
      <c r="K218" s="307">
        <f t="shared" ca="1" si="102"/>
        <v>433.53252466522645</v>
      </c>
      <c r="L218" s="304">
        <f t="shared" ca="1" si="87"/>
        <v>441.22396396147508</v>
      </c>
      <c r="M218" s="306">
        <f t="shared" ca="1" si="103"/>
        <v>1.3767283654340083</v>
      </c>
      <c r="N218" s="304">
        <f t="shared" ca="1" si="104"/>
        <v>78.880724875313163</v>
      </c>
      <c r="P218" s="310">
        <f t="shared" ca="1" si="105"/>
        <v>6</v>
      </c>
      <c r="Q218" s="304">
        <f t="shared" ca="1" si="106"/>
        <v>566.29000000000019</v>
      </c>
      <c r="R218" s="306">
        <f t="shared" ca="1" si="107"/>
        <v>0.28419456657452263</v>
      </c>
      <c r="S218" s="307">
        <f t="shared" ca="1" si="108"/>
        <v>5.2589626337344599</v>
      </c>
      <c r="T218" s="304">
        <f t="shared" ca="1" si="88"/>
        <v>51.590423436935055</v>
      </c>
      <c r="U218" s="311">
        <f t="shared" ca="1" si="89"/>
        <v>0</v>
      </c>
      <c r="V218" s="306">
        <f t="shared" ca="1" si="90"/>
        <v>1.1730190376212393</v>
      </c>
      <c r="W218" s="304">
        <f t="shared" ca="1" si="91"/>
        <v>303.65458608405822</v>
      </c>
      <c r="Y218" s="314" t="str">
        <f t="shared" ca="1" si="109"/>
        <v/>
      </c>
      <c r="Z218" s="315" t="str">
        <f t="shared" ca="1" si="110"/>
        <v/>
      </c>
      <c r="AA218" s="316" t="str">
        <f t="shared" ca="1" si="111"/>
        <v/>
      </c>
      <c r="AC218" s="310" t="e">
        <f t="shared" ca="1" si="112"/>
        <v>#N/A</v>
      </c>
      <c r="AD218" s="323" t="e">
        <f t="shared" ca="1" si="113"/>
        <v>#N/A</v>
      </c>
      <c r="AE218" s="324">
        <f t="shared" ca="1" si="92"/>
        <v>433.53252466522645</v>
      </c>
      <c r="AG218" s="306">
        <f t="shared" ca="1" si="114"/>
        <v>40.463919126590078</v>
      </c>
      <c r="AH218" s="304">
        <f t="shared" ca="1" si="115"/>
        <v>50.089890897844043</v>
      </c>
    </row>
    <row r="219" spans="1:34" x14ac:dyDescent="0.2">
      <c r="A219" s="347">
        <f t="shared" ca="1" si="93"/>
        <v>0.01</v>
      </c>
      <c r="B219" s="304">
        <f t="shared" ca="1" si="94"/>
        <v>2.1499999999999981</v>
      </c>
      <c r="D219" s="306">
        <f t="shared" ca="1" si="95"/>
        <v>9.5827614519711108</v>
      </c>
      <c r="E219" s="307">
        <f t="shared" ca="1" si="96"/>
        <v>38.946915140011349</v>
      </c>
      <c r="F219" s="304">
        <f t="shared" ca="1" si="97"/>
        <v>40.108496805148768</v>
      </c>
      <c r="G219" s="306">
        <f t="shared" ca="1" si="98"/>
        <v>54.569982609231559</v>
      </c>
      <c r="H219" s="307">
        <f t="shared" ca="1" si="99"/>
        <v>277.55297423423514</v>
      </c>
      <c r="I219" s="304">
        <f t="shared" ca="1" si="100"/>
        <v>282.86664085438184</v>
      </c>
      <c r="J219" s="306">
        <f t="shared" ca="1" si="101"/>
        <v>82.570438952111374</v>
      </c>
      <c r="K219" s="307">
        <f t="shared" ca="1" si="102"/>
        <v>436.30610706181182</v>
      </c>
      <c r="L219" s="304">
        <f t="shared" ca="1" si="87"/>
        <v>444.0505561849659</v>
      </c>
      <c r="M219" s="306">
        <f t="shared" ca="1" si="103"/>
        <v>1.3766614830732209</v>
      </c>
      <c r="N219" s="304">
        <f t="shared" ca="1" si="104"/>
        <v>78.876892798316177</v>
      </c>
      <c r="P219" s="310">
        <f t="shared" ca="1" si="105"/>
        <v>6</v>
      </c>
      <c r="Q219" s="304">
        <f t="shared" ca="1" si="106"/>
        <v>564.83000000000027</v>
      </c>
      <c r="R219" s="306">
        <f t="shared" ca="1" si="107"/>
        <v>0.28346186059843481</v>
      </c>
      <c r="S219" s="307">
        <f t="shared" ca="1" si="108"/>
        <v>5.2561280151284757</v>
      </c>
      <c r="T219" s="304">
        <f t="shared" ca="1" si="88"/>
        <v>51.562615828410351</v>
      </c>
      <c r="U219" s="311">
        <f t="shared" ca="1" si="89"/>
        <v>0</v>
      </c>
      <c r="V219" s="306">
        <f t="shared" ca="1" si="90"/>
        <v>1.1726935823577205</v>
      </c>
      <c r="W219" s="304">
        <f t="shared" ca="1" si="91"/>
        <v>304.43209304978086</v>
      </c>
      <c r="Y219" s="314" t="str">
        <f t="shared" ca="1" si="109"/>
        <v/>
      </c>
      <c r="Z219" s="315" t="str">
        <f t="shared" ca="1" si="110"/>
        <v/>
      </c>
      <c r="AA219" s="316" t="str">
        <f t="shared" ca="1" si="111"/>
        <v/>
      </c>
      <c r="AC219" s="310" t="e">
        <f t="shared" ca="1" si="112"/>
        <v>#N/A</v>
      </c>
      <c r="AD219" s="323" t="e">
        <f t="shared" ca="1" si="113"/>
        <v>#N/A</v>
      </c>
      <c r="AE219" s="324">
        <f t="shared" ca="1" si="92"/>
        <v>436.30610706181182</v>
      </c>
      <c r="AG219" s="306">
        <f t="shared" ca="1" si="114"/>
        <v>40.063852913873426</v>
      </c>
      <c r="AH219" s="304">
        <f t="shared" ca="1" si="115"/>
        <v>49.689698037074564</v>
      </c>
    </row>
    <row r="220" spans="1:34" x14ac:dyDescent="0.2">
      <c r="A220" s="347">
        <f t="shared" ca="1" si="93"/>
        <v>0.01</v>
      </c>
      <c r="B220" s="304">
        <f t="shared" ca="1" si="94"/>
        <v>2.1599999999999979</v>
      </c>
      <c r="D220" s="306">
        <f t="shared" ca="1" si="95"/>
        <v>9.5090132579836588</v>
      </c>
      <c r="E220" s="307">
        <f t="shared" ca="1" si="96"/>
        <v>38.55459140340021</v>
      </c>
      <c r="F220" s="304">
        <f t="shared" ca="1" si="97"/>
        <v>39.709921322304965</v>
      </c>
      <c r="G220" s="306">
        <f t="shared" ca="1" si="98"/>
        <v>54.665072741811393</v>
      </c>
      <c r="H220" s="307">
        <f t="shared" ca="1" si="99"/>
        <v>277.93852014826916</v>
      </c>
      <c r="I220" s="304">
        <f t="shared" ca="1" si="100"/>
        <v>283.26328946772708</v>
      </c>
      <c r="J220" s="306">
        <f t="shared" ca="1" si="101"/>
        <v>83.116614228866595</v>
      </c>
      <c r="K220" s="307">
        <f t="shared" ca="1" si="102"/>
        <v>439.08356453372431</v>
      </c>
      <c r="L220" s="304">
        <f t="shared" ca="1" si="87"/>
        <v>446.8811343125949</v>
      </c>
      <c r="M220" s="306">
        <f t="shared" ca="1" si="103"/>
        <v>1.376594671638834</v>
      </c>
      <c r="N220" s="304">
        <f t="shared" ca="1" si="104"/>
        <v>78.873064785102585</v>
      </c>
      <c r="P220" s="310">
        <f t="shared" ca="1" si="105"/>
        <v>6</v>
      </c>
      <c r="Q220" s="304">
        <f t="shared" ca="1" si="106"/>
        <v>563.37000000000035</v>
      </c>
      <c r="R220" s="306">
        <f t="shared" ca="1" si="107"/>
        <v>0.28272915462234693</v>
      </c>
      <c r="S220" s="307">
        <f t="shared" ca="1" si="108"/>
        <v>5.2533007235822522</v>
      </c>
      <c r="T220" s="304">
        <f t="shared" ca="1" si="88"/>
        <v>51.534880098341894</v>
      </c>
      <c r="U220" s="311">
        <f t="shared" ca="1" si="89"/>
        <v>0</v>
      </c>
      <c r="V220" s="306">
        <f t="shared" ca="1" si="90"/>
        <v>1.1723677609022407</v>
      </c>
      <c r="W220" s="304">
        <f t="shared" ca="1" si="91"/>
        <v>305.20164815423288</v>
      </c>
      <c r="Y220" s="314" t="str">
        <f t="shared" ca="1" si="109"/>
        <v/>
      </c>
      <c r="Z220" s="315" t="str">
        <f t="shared" ca="1" si="110"/>
        <v/>
      </c>
      <c r="AA220" s="316" t="str">
        <f t="shared" ca="1" si="111"/>
        <v/>
      </c>
      <c r="AC220" s="310" t="e">
        <f t="shared" ca="1" si="112"/>
        <v>#N/A</v>
      </c>
      <c r="AD220" s="323" t="e">
        <f t="shared" ca="1" si="113"/>
        <v>#N/A</v>
      </c>
      <c r="AE220" s="324">
        <f t="shared" ca="1" si="92"/>
        <v>439.08356453372431</v>
      </c>
      <c r="AG220" s="306">
        <f t="shared" ca="1" si="114"/>
        <v>39.664798113448946</v>
      </c>
      <c r="AH220" s="304">
        <f t="shared" ca="1" si="115"/>
        <v>49.290516681795523</v>
      </c>
    </row>
    <row r="221" spans="1:34" x14ac:dyDescent="0.2">
      <c r="A221" s="347">
        <f t="shared" ca="1" si="93"/>
        <v>0.01</v>
      </c>
      <c r="B221" s="304">
        <f t="shared" ca="1" si="94"/>
        <v>2.1699999999999977</v>
      </c>
      <c r="D221" s="306">
        <f t="shared" ca="1" si="95"/>
        <v>9.4354053678879648</v>
      </c>
      <c r="E221" s="307">
        <f t="shared" ca="1" si="96"/>
        <v>38.163275684383862</v>
      </c>
      <c r="F221" s="304">
        <f t="shared" ca="1" si="97"/>
        <v>39.312370641041909</v>
      </c>
      <c r="G221" s="306">
        <f t="shared" ca="1" si="98"/>
        <v>54.75942679549027</v>
      </c>
      <c r="H221" s="307">
        <f t="shared" ca="1" si="99"/>
        <v>278.32015290511299</v>
      </c>
      <c r="I221" s="304">
        <f t="shared" ca="1" si="100"/>
        <v>283.65595769540278</v>
      </c>
      <c r="J221" s="306">
        <f t="shared" ca="1" si="101"/>
        <v>83.663736726553097</v>
      </c>
      <c r="K221" s="307">
        <f t="shared" ca="1" si="102"/>
        <v>441.8648578989912</v>
      </c>
      <c r="L221" s="304">
        <f t="shared" ca="1" si="87"/>
        <v>449.71565848783348</v>
      </c>
      <c r="M221" s="306">
        <f t="shared" ca="1" si="103"/>
        <v>1.376527930020323</v>
      </c>
      <c r="N221" s="304">
        <f t="shared" ca="1" si="104"/>
        <v>78.869240772044037</v>
      </c>
      <c r="P221" s="310">
        <f t="shared" ca="1" si="105"/>
        <v>6</v>
      </c>
      <c r="Q221" s="304">
        <f t="shared" ca="1" si="106"/>
        <v>561.91000000000031</v>
      </c>
      <c r="R221" s="306">
        <f t="shared" ca="1" si="107"/>
        <v>0.28199644864625906</v>
      </c>
      <c r="S221" s="307">
        <f t="shared" ca="1" si="108"/>
        <v>5.2504807590957894</v>
      </c>
      <c r="T221" s="304">
        <f t="shared" ca="1" si="88"/>
        <v>51.507216246729698</v>
      </c>
      <c r="U221" s="311">
        <f t="shared" ca="1" si="89"/>
        <v>0</v>
      </c>
      <c r="V221" s="306">
        <f t="shared" ca="1" si="90"/>
        <v>1.17204157818389</v>
      </c>
      <c r="W221" s="304">
        <f t="shared" ca="1" si="91"/>
        <v>305.9632438454376</v>
      </c>
      <c r="Y221" s="314" t="str">
        <f t="shared" ca="1" si="109"/>
        <v/>
      </c>
      <c r="Z221" s="315" t="str">
        <f t="shared" ca="1" si="110"/>
        <v/>
      </c>
      <c r="AA221" s="316" t="str">
        <f t="shared" ca="1" si="111"/>
        <v/>
      </c>
      <c r="AC221" s="310" t="e">
        <f t="shared" ca="1" si="112"/>
        <v>#N/A</v>
      </c>
      <c r="AD221" s="323" t="e">
        <f t="shared" ca="1" si="113"/>
        <v>#N/A</v>
      </c>
      <c r="AE221" s="324">
        <f t="shared" ca="1" si="92"/>
        <v>441.8648578989912</v>
      </c>
      <c r="AG221" s="306">
        <f t="shared" ca="1" si="114"/>
        <v>39.26675959109555</v>
      </c>
      <c r="AH221" s="304">
        <f t="shared" ca="1" si="115"/>
        <v>48.892351695804784</v>
      </c>
    </row>
    <row r="222" spans="1:34" x14ac:dyDescent="0.2">
      <c r="A222" s="347">
        <f t="shared" ca="1" si="93"/>
        <v>0.01</v>
      </c>
      <c r="B222" s="304">
        <f t="shared" ca="1" si="94"/>
        <v>2.1799999999999975</v>
      </c>
      <c r="D222" s="306">
        <f t="shared" ca="1" si="95"/>
        <v>9.3619390347925613</v>
      </c>
      <c r="E222" s="307">
        <f t="shared" ca="1" si="96"/>
        <v>37.772972579004367</v>
      </c>
      <c r="F222" s="304">
        <f t="shared" ca="1" si="97"/>
        <v>38.915849726626661</v>
      </c>
      <c r="G222" s="306">
        <f t="shared" ca="1" si="98"/>
        <v>54.853046185838195</v>
      </c>
      <c r="H222" s="307">
        <f t="shared" ca="1" si="99"/>
        <v>278.69788263090305</v>
      </c>
      <c r="I222" s="304">
        <f t="shared" ca="1" si="100"/>
        <v>284.04465574767346</v>
      </c>
      <c r="J222" s="306">
        <f t="shared" ca="1" si="101"/>
        <v>84.211799091459739</v>
      </c>
      <c r="K222" s="307">
        <f t="shared" ca="1" si="102"/>
        <v>444.64994807667131</v>
      </c>
      <c r="L222" s="304">
        <f t="shared" ca="1" si="87"/>
        <v>452.55408895601295</v>
      </c>
      <c r="M222" s="306">
        <f t="shared" ca="1" si="103"/>
        <v>1.3764612571167236</v>
      </c>
      <c r="N222" s="304">
        <f t="shared" ca="1" si="104"/>
        <v>78.865420696059914</v>
      </c>
      <c r="P222" s="310">
        <f t="shared" ca="1" si="105"/>
        <v>6</v>
      </c>
      <c r="Q222" s="304">
        <f t="shared" ca="1" si="106"/>
        <v>560.45000000000039</v>
      </c>
      <c r="R222" s="306">
        <f t="shared" ca="1" si="107"/>
        <v>0.28126374267017124</v>
      </c>
      <c r="S222" s="307">
        <f t="shared" ca="1" si="108"/>
        <v>5.2476681216690872</v>
      </c>
      <c r="T222" s="304">
        <f t="shared" ca="1" si="88"/>
        <v>51.479624273573748</v>
      </c>
      <c r="U222" s="311">
        <f t="shared" ca="1" si="89"/>
        <v>0</v>
      </c>
      <c r="V222" s="306">
        <f t="shared" ca="1" si="90"/>
        <v>1.1717150391151436</v>
      </c>
      <c r="W222" s="304">
        <f t="shared" ca="1" si="91"/>
        <v>306.71687319671577</v>
      </c>
      <c r="Y222" s="314" t="str">
        <f t="shared" ca="1" si="109"/>
        <v/>
      </c>
      <c r="Z222" s="315" t="str">
        <f t="shared" ca="1" si="110"/>
        <v/>
      </c>
      <c r="AA222" s="316" t="str">
        <f t="shared" ca="1" si="111"/>
        <v/>
      </c>
      <c r="AC222" s="310" t="e">
        <f t="shared" ca="1" si="112"/>
        <v>#N/A</v>
      </c>
      <c r="AD222" s="323" t="e">
        <f t="shared" ca="1" si="113"/>
        <v>#N/A</v>
      </c>
      <c r="AE222" s="324">
        <f t="shared" ca="1" si="92"/>
        <v>444.64994807667131</v>
      </c>
      <c r="AG222" s="306">
        <f t="shared" ca="1" si="114"/>
        <v>38.869742094217941</v>
      </c>
      <c r="AH222" s="304">
        <f t="shared" ca="1" si="115"/>
        <v>48.495207824541325</v>
      </c>
    </row>
    <row r="223" spans="1:34" x14ac:dyDescent="0.2">
      <c r="A223" s="347">
        <f t="shared" ca="1" si="93"/>
        <v>0.01</v>
      </c>
      <c r="B223" s="304">
        <f t="shared" ca="1" si="94"/>
        <v>2.1899999999999973</v>
      </c>
      <c r="D223" s="306">
        <f t="shared" ca="1" si="95"/>
        <v>9.2886154877258473</v>
      </c>
      <c r="E223" s="307">
        <f t="shared" ca="1" si="96"/>
        <v>37.383686568133648</v>
      </c>
      <c r="F223" s="304">
        <f t="shared" ca="1" si="97"/>
        <v>38.520363434205507</v>
      </c>
      <c r="G223" s="306">
        <f t="shared" ca="1" si="98"/>
        <v>54.945932340715451</v>
      </c>
      <c r="H223" s="307">
        <f t="shared" ca="1" si="99"/>
        <v>279.07171949658436</v>
      </c>
      <c r="I223" s="304">
        <f t="shared" ca="1" si="100"/>
        <v>284.42939388110148</v>
      </c>
      <c r="J223" s="306">
        <f t="shared" ca="1" si="101"/>
        <v>84.760793984092501</v>
      </c>
      <c r="K223" s="307">
        <f t="shared" ca="1" si="102"/>
        <v>447.43879608730873</v>
      </c>
      <c r="L223" s="304">
        <f t="shared" ca="1" si="87"/>
        <v>455.39638606479303</v>
      </c>
      <c r="M223" s="306">
        <f t="shared" ca="1" si="103"/>
        <v>1.3763946518364905</v>
      </c>
      <c r="N223" s="304">
        <f t="shared" ca="1" si="104"/>
        <v>78.861604494609267</v>
      </c>
      <c r="P223" s="310">
        <f t="shared" ca="1" si="105"/>
        <v>6</v>
      </c>
      <c r="Q223" s="304">
        <f t="shared" ca="1" si="106"/>
        <v>558.99000000000035</v>
      </c>
      <c r="R223" s="306">
        <f t="shared" ca="1" si="107"/>
        <v>0.28053103669408336</v>
      </c>
      <c r="S223" s="307">
        <f t="shared" ca="1" si="108"/>
        <v>5.2448628113021467</v>
      </c>
      <c r="T223" s="304">
        <f t="shared" ca="1" si="88"/>
        <v>51.452104178874059</v>
      </c>
      <c r="U223" s="311">
        <f t="shared" ca="1" si="89"/>
        <v>0</v>
      </c>
      <c r="V223" s="306">
        <f t="shared" ca="1" si="90"/>
        <v>1.1713881485918092</v>
      </c>
      <c r="W223" s="304">
        <f t="shared" ca="1" si="91"/>
        <v>307.46252990060822</v>
      </c>
      <c r="Y223" s="314" t="str">
        <f t="shared" ca="1" si="109"/>
        <v/>
      </c>
      <c r="Z223" s="315" t="str">
        <f t="shared" ca="1" si="110"/>
        <v/>
      </c>
      <c r="AA223" s="316" t="str">
        <f t="shared" ca="1" si="111"/>
        <v/>
      </c>
      <c r="AC223" s="310" t="e">
        <f t="shared" ca="1" si="112"/>
        <v>#N/A</v>
      </c>
      <c r="AD223" s="323" t="e">
        <f t="shared" ca="1" si="113"/>
        <v>#N/A</v>
      </c>
      <c r="AE223" s="324">
        <f t="shared" ca="1" si="92"/>
        <v>447.43879608730873</v>
      </c>
      <c r="AG223" s="306">
        <f t="shared" ca="1" si="114"/>
        <v>38.473750252618188</v>
      </c>
      <c r="AH223" s="304">
        <f t="shared" ca="1" si="115"/>
        <v>48.099089695856605</v>
      </c>
    </row>
    <row r="224" spans="1:34" x14ac:dyDescent="0.2">
      <c r="A224" s="347">
        <f t="shared" ca="1" si="93"/>
        <v>0.01</v>
      </c>
      <c r="B224" s="304">
        <f t="shared" ca="1" si="94"/>
        <v>2.1999999999999971</v>
      </c>
      <c r="D224" s="306">
        <f t="shared" ca="1" si="95"/>
        <v>9.2154359317814301</v>
      </c>
      <c r="E224" s="307">
        <f t="shared" ca="1" si="96"/>
        <v>36.995422018240056</v>
      </c>
      <c r="F224" s="304">
        <f t="shared" ca="1" si="97"/>
        <v>38.125916509907661</v>
      </c>
      <c r="G224" s="306">
        <f t="shared" ca="1" si="98"/>
        <v>55.038086700033269</v>
      </c>
      <c r="H224" s="307">
        <f t="shared" ca="1" si="99"/>
        <v>279.44167371676679</v>
      </c>
      <c r="I224" s="304">
        <f t="shared" ca="1" si="100"/>
        <v>284.81018239737904</v>
      </c>
      <c r="J224" s="306">
        <f t="shared" ca="1" si="101"/>
        <v>85.310714079296247</v>
      </c>
      <c r="K224" s="307">
        <f t="shared" ca="1" si="102"/>
        <v>450.2313630533755</v>
      </c>
      <c r="L224" s="304">
        <f t="shared" ca="1" si="87"/>
        <v>458.24251026461945</v>
      </c>
      <c r="M224" s="306">
        <f t="shared" ca="1" si="103"/>
        <v>1.3763281130973599</v>
      </c>
      <c r="N224" s="304">
        <f t="shared" ca="1" si="104"/>
        <v>78.857792105682961</v>
      </c>
      <c r="P224" s="310">
        <f t="shared" ca="1" si="105"/>
        <v>6</v>
      </c>
      <c r="Q224" s="304">
        <f t="shared" ca="1" si="106"/>
        <v>557.53000000000043</v>
      </c>
      <c r="R224" s="306">
        <f t="shared" ca="1" si="107"/>
        <v>0.27979833071799548</v>
      </c>
      <c r="S224" s="307">
        <f t="shared" ca="1" si="108"/>
        <v>5.2420648279949669</v>
      </c>
      <c r="T224" s="304">
        <f t="shared" ca="1" si="88"/>
        <v>51.424655962630631</v>
      </c>
      <c r="U224" s="311">
        <f t="shared" ca="1" si="89"/>
        <v>0</v>
      </c>
      <c r="V224" s="306">
        <f t="shared" ca="1" si="90"/>
        <v>1.1710609114929802</v>
      </c>
      <c r="W224" s="304">
        <f t="shared" ca="1" si="91"/>
        <v>308.20020826278994</v>
      </c>
      <c r="Y224" s="314" t="str">
        <f t="shared" ca="1" si="109"/>
        <v/>
      </c>
      <c r="Z224" s="315" t="str">
        <f t="shared" ca="1" si="110"/>
        <v/>
      </c>
      <c r="AA224" s="316" t="str">
        <f t="shared" ca="1" si="111"/>
        <v/>
      </c>
      <c r="AC224" s="310" t="e">
        <f t="shared" ca="1" si="112"/>
        <v>#N/A</v>
      </c>
      <c r="AD224" s="323" t="e">
        <f t="shared" ca="1" si="113"/>
        <v>#N/A</v>
      </c>
      <c r="AE224" s="324">
        <f t="shared" ca="1" si="92"/>
        <v>450.2313630533755</v>
      </c>
      <c r="AG224" s="306">
        <f t="shared" ca="1" si="114"/>
        <v>38.078788579275404</v>
      </c>
      <c r="AH224" s="304">
        <f t="shared" ca="1" si="115"/>
        <v>47.704001820794026</v>
      </c>
    </row>
    <row r="225" spans="1:34" x14ac:dyDescent="0.2">
      <c r="A225" s="347">
        <f t="shared" ca="1" si="93"/>
        <v>0.01</v>
      </c>
      <c r="B225" s="304">
        <f t="shared" ca="1" si="94"/>
        <v>2.2099999999999969</v>
      </c>
      <c r="D225" s="306">
        <f t="shared" ca="1" si="95"/>
        <v>9.1424015482645284</v>
      </c>
      <c r="E225" s="307">
        <f t="shared" ca="1" si="96"/>
        <v>36.608183182160921</v>
      </c>
      <c r="F225" s="304">
        <f t="shared" ca="1" si="97"/>
        <v>37.732513591972101</v>
      </c>
      <c r="G225" s="306">
        <f t="shared" ca="1" si="98"/>
        <v>55.129510715515913</v>
      </c>
      <c r="H225" s="307">
        <f t="shared" ca="1" si="99"/>
        <v>279.80775554858837</v>
      </c>
      <c r="I225" s="304">
        <f t="shared" ca="1" si="100"/>
        <v>285.18703164216771</v>
      </c>
      <c r="J225" s="306">
        <f t="shared" ca="1" si="101"/>
        <v>85.861552066373989</v>
      </c>
      <c r="K225" s="307">
        <f t="shared" ca="1" si="102"/>
        <v>453.02761019970228</v>
      </c>
      <c r="L225" s="304">
        <f t="shared" ca="1" si="87"/>
        <v>461.09242210916892</v>
      </c>
      <c r="M225" s="306">
        <f t="shared" ca="1" si="103"/>
        <v>1.3762616398262135</v>
      </c>
      <c r="N225" s="304">
        <f t="shared" ca="1" si="104"/>
        <v>78.853983467795842</v>
      </c>
      <c r="P225" s="310">
        <f t="shared" ca="1" si="105"/>
        <v>6</v>
      </c>
      <c r="Q225" s="304">
        <f t="shared" ca="1" si="106"/>
        <v>556.07000000000039</v>
      </c>
      <c r="R225" s="306">
        <f t="shared" ca="1" si="107"/>
        <v>0.2790656247419076</v>
      </c>
      <c r="S225" s="307">
        <f t="shared" ca="1" si="108"/>
        <v>5.2392741717475477</v>
      </c>
      <c r="T225" s="304">
        <f t="shared" ca="1" si="88"/>
        <v>51.397279624843449</v>
      </c>
      <c r="U225" s="311">
        <f t="shared" ca="1" si="89"/>
        <v>0</v>
      </c>
      <c r="V225" s="306">
        <f t="shared" ca="1" si="90"/>
        <v>1.1707333326809886</v>
      </c>
      <c r="W225" s="304">
        <f t="shared" ca="1" si="91"/>
        <v>308.92990319597328</v>
      </c>
      <c r="Y225" s="314" t="str">
        <f t="shared" ca="1" si="109"/>
        <v/>
      </c>
      <c r="Z225" s="315" t="str">
        <f t="shared" ca="1" si="110"/>
        <v/>
      </c>
      <c r="AA225" s="316" t="str">
        <f t="shared" ca="1" si="111"/>
        <v/>
      </c>
      <c r="AC225" s="310" t="e">
        <f t="shared" ca="1" si="112"/>
        <v>#N/A</v>
      </c>
      <c r="AD225" s="323" t="e">
        <f t="shared" ca="1" si="113"/>
        <v>#N/A</v>
      </c>
      <c r="AE225" s="324">
        <f t="shared" ca="1" si="92"/>
        <v>453.02761019970228</v>
      </c>
      <c r="AG225" s="306">
        <f t="shared" ca="1" si="114"/>
        <v>37.684861471131562</v>
      </c>
      <c r="AH225" s="304">
        <f t="shared" ca="1" si="115"/>
        <v>47.30994859437449</v>
      </c>
    </row>
    <row r="226" spans="1:34" x14ac:dyDescent="0.2">
      <c r="A226" s="347">
        <f t="shared" ca="1" si="93"/>
        <v>0.01</v>
      </c>
      <c r="B226" s="304">
        <f t="shared" ca="1" si="94"/>
        <v>2.2199999999999966</v>
      </c>
      <c r="D226" s="306">
        <f t="shared" ca="1" si="95"/>
        <v>9.069513494839839</v>
      </c>
      <c r="E226" s="307">
        <f t="shared" ca="1" si="96"/>
        <v>36.221974199882411</v>
      </c>
      <c r="F226" s="304">
        <f t="shared" ca="1" si="97"/>
        <v>37.340159211899845</v>
      </c>
      <c r="G226" s="306">
        <f t="shared" ca="1" si="98"/>
        <v>55.220205850464311</v>
      </c>
      <c r="H226" s="307">
        <f t="shared" ca="1" si="99"/>
        <v>280.16997529058722</v>
      </c>
      <c r="I226" s="304">
        <f t="shared" ca="1" si="100"/>
        <v>285.55995200394591</v>
      </c>
      <c r="J226" s="306">
        <f t="shared" ca="1" si="101"/>
        <v>86.41330064920389</v>
      </c>
      <c r="K226" s="307">
        <f t="shared" ca="1" si="102"/>
        <v>455.82749885389813</v>
      </c>
      <c r="L226" s="304">
        <f t="shared" ca="1" si="87"/>
        <v>463.94608225578349</v>
      </c>
      <c r="M226" s="306">
        <f t="shared" ca="1" si="103"/>
        <v>1.376195230958944</v>
      </c>
      <c r="N226" s="304">
        <f t="shared" ca="1" si="104"/>
        <v>78.850178519979067</v>
      </c>
      <c r="P226" s="310">
        <f t="shared" ca="1" si="105"/>
        <v>6</v>
      </c>
      <c r="Q226" s="304">
        <f t="shared" ca="1" si="106"/>
        <v>554.61000000000047</v>
      </c>
      <c r="R226" s="306">
        <f t="shared" ca="1" si="107"/>
        <v>0.27833291876581978</v>
      </c>
      <c r="S226" s="307">
        <f t="shared" ca="1" si="108"/>
        <v>5.2364908425598893</v>
      </c>
      <c r="T226" s="304">
        <f t="shared" ca="1" si="88"/>
        <v>51.369975165512514</v>
      </c>
      <c r="U226" s="311">
        <f t="shared" ca="1" si="89"/>
        <v>0</v>
      </c>
      <c r="V226" s="306">
        <f t="shared" ca="1" si="90"/>
        <v>1.1704054170013598</v>
      </c>
      <c r="W226" s="304">
        <f t="shared" ca="1" si="91"/>
        <v>309.65161021380328</v>
      </c>
      <c r="Y226" s="314" t="str">
        <f t="shared" ca="1" si="109"/>
        <v/>
      </c>
      <c r="Z226" s="315" t="str">
        <f t="shared" ca="1" si="110"/>
        <v/>
      </c>
      <c r="AA226" s="316" t="str">
        <f t="shared" ca="1" si="111"/>
        <v/>
      </c>
      <c r="AC226" s="310" t="e">
        <f t="shared" ca="1" si="112"/>
        <v>#N/A</v>
      </c>
      <c r="AD226" s="323" t="e">
        <f t="shared" ca="1" si="113"/>
        <v>#N/A</v>
      </c>
      <c r="AE226" s="324">
        <f t="shared" ca="1" si="92"/>
        <v>455.82749885389813</v>
      </c>
      <c r="AG226" s="306">
        <f t="shared" ca="1" si="114"/>
        <v>37.291973209884709</v>
      </c>
      <c r="AH226" s="304">
        <f t="shared" ca="1" si="115"/>
        <v>46.916934296389421</v>
      </c>
    </row>
    <row r="227" spans="1:34" x14ac:dyDescent="0.2">
      <c r="A227" s="347">
        <f t="shared" ca="1" si="93"/>
        <v>0.01</v>
      </c>
      <c r="B227" s="304">
        <f t="shared" ca="1" si="94"/>
        <v>2.2299999999999964</v>
      </c>
      <c r="D227" s="306">
        <f t="shared" ca="1" si="95"/>
        <v>8.9967729056805226</v>
      </c>
      <c r="E227" s="307">
        <f t="shared" ca="1" si="96"/>
        <v>35.836799099325411</v>
      </c>
      <c r="F227" s="304">
        <f t="shared" ca="1" si="97"/>
        <v>36.94885779563149</v>
      </c>
      <c r="G227" s="306">
        <f t="shared" ca="1" si="98"/>
        <v>55.310173579521113</v>
      </c>
      <c r="H227" s="307">
        <f t="shared" ca="1" si="99"/>
        <v>280.52834328158048</v>
      </c>
      <c r="I227" s="304">
        <f t="shared" ca="1" si="100"/>
        <v>285.92895391286459</v>
      </c>
      <c r="J227" s="306">
        <f t="shared" ca="1" si="101"/>
        <v>86.965952546353819</v>
      </c>
      <c r="K227" s="307">
        <f t="shared" ca="1" si="102"/>
        <v>458.63099044675897</v>
      </c>
      <c r="L227" s="304">
        <f t="shared" ca="1" si="87"/>
        <v>466.80345146589246</v>
      </c>
      <c r="M227" s="306">
        <f t="shared" ca="1" si="103"/>
        <v>1.3761288854403235</v>
      </c>
      <c r="N227" s="304">
        <f t="shared" ca="1" si="104"/>
        <v>78.846377201772498</v>
      </c>
      <c r="P227" s="310">
        <f t="shared" ca="1" si="105"/>
        <v>6</v>
      </c>
      <c r="Q227" s="304">
        <f t="shared" ca="1" si="106"/>
        <v>553.15000000000055</v>
      </c>
      <c r="R227" s="306">
        <f t="shared" ca="1" si="107"/>
        <v>0.2776002127897319</v>
      </c>
      <c r="S227" s="307">
        <f t="shared" ca="1" si="108"/>
        <v>5.2337148404319915</v>
      </c>
      <c r="T227" s="304">
        <f t="shared" ca="1" si="88"/>
        <v>51.34274258463784</v>
      </c>
      <c r="U227" s="311">
        <f t="shared" ca="1" si="89"/>
        <v>0</v>
      </c>
      <c r="V227" s="306">
        <f t="shared" ca="1" si="90"/>
        <v>1.1700771692827712</v>
      </c>
      <c r="W227" s="304">
        <f t="shared" ca="1" si="91"/>
        <v>310.3653254247464</v>
      </c>
      <c r="Y227" s="314" t="str">
        <f t="shared" ca="1" si="109"/>
        <v/>
      </c>
      <c r="Z227" s="315" t="str">
        <f t="shared" ca="1" si="110"/>
        <v/>
      </c>
      <c r="AA227" s="316" t="str">
        <f t="shared" ca="1" si="111"/>
        <v/>
      </c>
      <c r="AC227" s="310" t="e">
        <f t="shared" ca="1" si="112"/>
        <v>#N/A</v>
      </c>
      <c r="AD227" s="323" t="e">
        <f t="shared" ca="1" si="113"/>
        <v>#N/A</v>
      </c>
      <c r="AE227" s="324">
        <f t="shared" ca="1" si="92"/>
        <v>458.63099044675897</v>
      </c>
      <c r="AG227" s="306">
        <f t="shared" ca="1" si="114"/>
        <v>36.900127962788325</v>
      </c>
      <c r="AH227" s="304">
        <f t="shared" ca="1" si="115"/>
        <v>46.524963092199897</v>
      </c>
    </row>
    <row r="228" spans="1:34" x14ac:dyDescent="0.2">
      <c r="A228" s="347">
        <f t="shared" ca="1" si="93"/>
        <v>0.01</v>
      </c>
      <c r="B228" s="304">
        <f t="shared" ca="1" si="94"/>
        <v>2.2399999999999962</v>
      </c>
      <c r="D228" s="306">
        <f t="shared" ca="1" si="95"/>
        <v>8.9241808916183967</v>
      </c>
      <c r="E228" s="307">
        <f t="shared" ca="1" si="96"/>
        <v>35.452661797137722</v>
      </c>
      <c r="F228" s="304">
        <f t="shared" ca="1" si="97"/>
        <v>36.558613664751505</v>
      </c>
      <c r="G228" s="306">
        <f t="shared" ca="1" si="98"/>
        <v>55.399415388437298</v>
      </c>
      <c r="H228" s="307">
        <f t="shared" ca="1" si="99"/>
        <v>280.88286989955185</v>
      </c>
      <c r="I228" s="304">
        <f t="shared" ca="1" si="100"/>
        <v>286.29404783961047</v>
      </c>
      <c r="J228" s="306">
        <f t="shared" ca="1" si="101"/>
        <v>87.519500491193611</v>
      </c>
      <c r="K228" s="307">
        <f t="shared" ca="1" si="102"/>
        <v>461.43804651266464</v>
      </c>
      <c r="L228" s="304">
        <f t="shared" ca="1" si="87"/>
        <v>469.66449060542368</v>
      </c>
      <c r="M228" s="306">
        <f t="shared" ca="1" si="103"/>
        <v>1.3760626022238747</v>
      </c>
      <c r="N228" s="304">
        <f t="shared" ca="1" si="104"/>
        <v>78.842579453217425</v>
      </c>
      <c r="P228" s="310">
        <f t="shared" ca="1" si="105"/>
        <v>6</v>
      </c>
      <c r="Q228" s="304">
        <f t="shared" ca="1" si="106"/>
        <v>551.69000000000051</v>
      </c>
      <c r="R228" s="306">
        <f t="shared" ca="1" si="107"/>
        <v>0.27686750681364403</v>
      </c>
      <c r="S228" s="307">
        <f t="shared" ca="1" si="108"/>
        <v>5.2309461653638554</v>
      </c>
      <c r="T228" s="304">
        <f t="shared" ca="1" si="88"/>
        <v>51.315581882219426</v>
      </c>
      <c r="U228" s="311">
        <f t="shared" ca="1" si="89"/>
        <v>0</v>
      </c>
      <c r="V228" s="306">
        <f t="shared" ca="1" si="90"/>
        <v>1.1697485943370092</v>
      </c>
      <c r="W228" s="304">
        <f t="shared" ca="1" si="91"/>
        <v>311.07104552597303</v>
      </c>
      <c r="Y228" s="314" t="str">
        <f t="shared" ca="1" si="109"/>
        <v/>
      </c>
      <c r="Z228" s="315" t="str">
        <f t="shared" ca="1" si="110"/>
        <v/>
      </c>
      <c r="AA228" s="316" t="str">
        <f t="shared" ca="1" si="111"/>
        <v/>
      </c>
      <c r="AC228" s="310" t="e">
        <f t="shared" ca="1" si="112"/>
        <v>#N/A</v>
      </c>
      <c r="AD228" s="323" t="e">
        <f t="shared" ca="1" si="113"/>
        <v>#N/A</v>
      </c>
      <c r="AE228" s="324">
        <f t="shared" ca="1" si="92"/>
        <v>461.43804651266464</v>
      </c>
      <c r="AG228" s="306">
        <f t="shared" ca="1" si="114"/>
        <v>36.509329783457119</v>
      </c>
      <c r="AH228" s="304">
        <f t="shared" ca="1" si="115"/>
        <v>46.134039033542223</v>
      </c>
    </row>
    <row r="229" spans="1:34" x14ac:dyDescent="0.2">
      <c r="A229" s="347">
        <f t="shared" ca="1" si="93"/>
        <v>0.01</v>
      </c>
      <c r="B229" s="304">
        <f t="shared" ca="1" si="94"/>
        <v>2.249999999999996</v>
      </c>
      <c r="D229" s="306">
        <f t="shared" ca="1" si="95"/>
        <v>8.8517385402952584</v>
      </c>
      <c r="E229" s="307">
        <f t="shared" ca="1" si="96"/>
        <v>35.069566099492263</v>
      </c>
      <c r="F229" s="304">
        <f t="shared" ca="1" si="97"/>
        <v>36.169431037720315</v>
      </c>
      <c r="G229" s="306">
        <f t="shared" ca="1" si="98"/>
        <v>55.487932773840249</v>
      </c>
      <c r="H229" s="307">
        <f t="shared" ca="1" si="99"/>
        <v>281.23356556054677</v>
      </c>
      <c r="I229" s="304">
        <f t="shared" ca="1" si="100"/>
        <v>286.65524429427865</v>
      </c>
      <c r="J229" s="306">
        <f t="shared" ca="1" si="101"/>
        <v>88.073937232004994</v>
      </c>
      <c r="K229" s="307">
        <f t="shared" ca="1" si="102"/>
        <v>464.24862868996513</v>
      </c>
      <c r="L229" s="304">
        <f t="shared" ca="1" si="87"/>
        <v>472.52916064520321</v>
      </c>
      <c r="M229" s="306">
        <f t="shared" ca="1" si="103"/>
        <v>1.3759963802717425</v>
      </c>
      <c r="N229" s="304">
        <f t="shared" ca="1" si="104"/>
        <v>78.838785214849139</v>
      </c>
      <c r="P229" s="310">
        <f t="shared" ca="1" si="105"/>
        <v>6</v>
      </c>
      <c r="Q229" s="304">
        <f t="shared" ca="1" si="106"/>
        <v>550.23000000000059</v>
      </c>
      <c r="R229" s="306">
        <f t="shared" ca="1" si="107"/>
        <v>0.2761348008375562</v>
      </c>
      <c r="S229" s="307">
        <f t="shared" ca="1" si="108"/>
        <v>5.2281848173554799</v>
      </c>
      <c r="T229" s="304">
        <f t="shared" ca="1" si="88"/>
        <v>51.288493058257259</v>
      </c>
      <c r="U229" s="311">
        <f t="shared" ca="1" si="89"/>
        <v>0</v>
      </c>
      <c r="V229" s="306">
        <f t="shared" ca="1" si="90"/>
        <v>1.1694196969589288</v>
      </c>
      <c r="W229" s="304">
        <f t="shared" ca="1" si="91"/>
        <v>311.76876779723762</v>
      </c>
      <c r="Y229" s="314" t="str">
        <f t="shared" ca="1" si="109"/>
        <v/>
      </c>
      <c r="Z229" s="315" t="str">
        <f t="shared" ca="1" si="110"/>
        <v/>
      </c>
      <c r="AA229" s="316" t="str">
        <f t="shared" ca="1" si="111"/>
        <v/>
      </c>
      <c r="AC229" s="310" t="e">
        <f t="shared" ca="1" si="112"/>
        <v>#N/A</v>
      </c>
      <c r="AD229" s="323" t="e">
        <f t="shared" ca="1" si="113"/>
        <v>#N/A</v>
      </c>
      <c r="AE229" s="324">
        <f t="shared" ca="1" si="92"/>
        <v>464.24862868996513</v>
      </c>
      <c r="AG229" s="306">
        <f t="shared" ca="1" si="114"/>
        <v>36.119582612678968</v>
      </c>
      <c r="AH229" s="304">
        <f t="shared" ca="1" si="115"/>
        <v>45.744166059339676</v>
      </c>
    </row>
    <row r="230" spans="1:34" x14ac:dyDescent="0.2">
      <c r="A230" s="347">
        <f t="shared" ca="1" si="93"/>
        <v>0.01</v>
      </c>
      <c r="B230" s="304">
        <f t="shared" ca="1" si="94"/>
        <v>2.2599999999999958</v>
      </c>
      <c r="D230" s="306">
        <f t="shared" ca="1" si="95"/>
        <v>8.7794469163152513</v>
      </c>
      <c r="E230" s="307">
        <f t="shared" ca="1" si="96"/>
        <v>34.687515702890423</v>
      </c>
      <c r="F230" s="304">
        <f t="shared" ca="1" si="97"/>
        <v>35.781314031134563</v>
      </c>
      <c r="G230" s="306">
        <f t="shared" ca="1" si="98"/>
        <v>55.575727243003399</v>
      </c>
      <c r="H230" s="307">
        <f t="shared" ca="1" si="99"/>
        <v>281.58044071757564</v>
      </c>
      <c r="I230" s="304">
        <f t="shared" ca="1" si="100"/>
        <v>287.01255382525142</v>
      </c>
      <c r="J230" s="306">
        <f t="shared" ca="1" si="101"/>
        <v>88.629255532089218</v>
      </c>
      <c r="K230" s="307">
        <f t="shared" ca="1" si="102"/>
        <v>467.06269872135573</v>
      </c>
      <c r="L230" s="304">
        <f t="shared" ca="1" si="87"/>
        <v>475.39742266134374</v>
      </c>
      <c r="M230" s="306">
        <f t="shared" ca="1" si="103"/>
        <v>1.3759302185545688</v>
      </c>
      <c r="N230" s="304">
        <f t="shared" ca="1" si="104"/>
        <v>78.83499442768975</v>
      </c>
      <c r="P230" s="310">
        <f t="shared" ca="1" si="105"/>
        <v>6</v>
      </c>
      <c r="Q230" s="304">
        <f t="shared" ca="1" si="106"/>
        <v>548.77000000000055</v>
      </c>
      <c r="R230" s="306">
        <f t="shared" ca="1" si="107"/>
        <v>0.27540209486146833</v>
      </c>
      <c r="S230" s="307">
        <f t="shared" ca="1" si="108"/>
        <v>5.2254307964068651</v>
      </c>
      <c r="T230" s="304">
        <f t="shared" ca="1" si="88"/>
        <v>51.261476112751353</v>
      </c>
      <c r="U230" s="311">
        <f t="shared" ca="1" si="89"/>
        <v>0</v>
      </c>
      <c r="V230" s="306">
        <f t="shared" ca="1" si="90"/>
        <v>1.1690904819264172</v>
      </c>
      <c r="W230" s="304">
        <f t="shared" ca="1" si="91"/>
        <v>312.45849009475251</v>
      </c>
      <c r="Y230" s="314" t="str">
        <f t="shared" ca="1" si="109"/>
        <v/>
      </c>
      <c r="Z230" s="315" t="str">
        <f t="shared" ca="1" si="110"/>
        <v/>
      </c>
      <c r="AA230" s="316" t="str">
        <f t="shared" ca="1" si="111"/>
        <v/>
      </c>
      <c r="AC230" s="310" t="e">
        <f t="shared" ca="1" si="112"/>
        <v>#N/A</v>
      </c>
      <c r="AD230" s="323" t="e">
        <f t="shared" ca="1" si="113"/>
        <v>#N/A</v>
      </c>
      <c r="AE230" s="324">
        <f t="shared" ca="1" si="92"/>
        <v>467.06269872135573</v>
      </c>
      <c r="AG230" s="306">
        <f t="shared" ca="1" si="114"/>
        <v>35.73089027923205</v>
      </c>
      <c r="AH230" s="304">
        <f t="shared" ca="1" si="115"/>
        <v>45.355347996519413</v>
      </c>
    </row>
    <row r="231" spans="1:34" x14ac:dyDescent="0.2">
      <c r="A231" s="347">
        <f t="shared" ca="1" si="93"/>
        <v>0.01</v>
      </c>
      <c r="B231" s="304">
        <f t="shared" ca="1" si="94"/>
        <v>2.2699999999999956</v>
      </c>
      <c r="D231" s="306">
        <f t="shared" ca="1" si="95"/>
        <v>8.7073070613984473</v>
      </c>
      <c r="E231" s="307">
        <f t="shared" ca="1" si="96"/>
        <v>34.306514194971648</v>
      </c>
      <c r="F231" s="304">
        <f t="shared" ca="1" si="97"/>
        <v>35.394266661018285</v>
      </c>
      <c r="G231" s="306">
        <f t="shared" ca="1" si="98"/>
        <v>55.662800313617382</v>
      </c>
      <c r="H231" s="307">
        <f t="shared" ca="1" si="99"/>
        <v>281.92350585952533</v>
      </c>
      <c r="I231" s="304">
        <f t="shared" ca="1" si="100"/>
        <v>287.3659870180872</v>
      </c>
      <c r="J231" s="306">
        <f t="shared" ca="1" si="101"/>
        <v>89.185448169872316</v>
      </c>
      <c r="K231" s="307">
        <f t="shared" ca="1" si="102"/>
        <v>469.88021845424123</v>
      </c>
      <c r="L231" s="304">
        <f t="shared" ca="1" si="87"/>
        <v>478.26923783562165</v>
      </c>
      <c r="M231" s="306">
        <f t="shared" ca="1" si="103"/>
        <v>1.3758641160513689</v>
      </c>
      <c r="N231" s="304">
        <f t="shared" ca="1" si="104"/>
        <v>78.831207033241142</v>
      </c>
      <c r="P231" s="310">
        <f t="shared" ca="1" si="105"/>
        <v>6</v>
      </c>
      <c r="Q231" s="304">
        <f t="shared" ca="1" si="106"/>
        <v>547.31000000000063</v>
      </c>
      <c r="R231" s="306">
        <f t="shared" ca="1" si="107"/>
        <v>0.27466938888538045</v>
      </c>
      <c r="S231" s="307">
        <f t="shared" ca="1" si="108"/>
        <v>5.2226841025180111</v>
      </c>
      <c r="T231" s="304">
        <f t="shared" ca="1" si="88"/>
        <v>51.234531045701694</v>
      </c>
      <c r="U231" s="311">
        <f t="shared" ca="1" si="89"/>
        <v>0</v>
      </c>
      <c r="V231" s="306">
        <f t="shared" ca="1" si="90"/>
        <v>1.1687609540003543</v>
      </c>
      <c r="W231" s="304">
        <f t="shared" ca="1" si="91"/>
        <v>313.14021084506288</v>
      </c>
      <c r="Y231" s="314" t="str">
        <f t="shared" ca="1" si="109"/>
        <v/>
      </c>
      <c r="Z231" s="315" t="str">
        <f t="shared" ca="1" si="110"/>
        <v/>
      </c>
      <c r="AA231" s="316" t="str">
        <f t="shared" ca="1" si="111"/>
        <v/>
      </c>
      <c r="AC231" s="310" t="e">
        <f t="shared" ca="1" si="112"/>
        <v>#N/A</v>
      </c>
      <c r="AD231" s="323" t="e">
        <f t="shared" ca="1" si="113"/>
        <v>#N/A</v>
      </c>
      <c r="AE231" s="324">
        <f t="shared" ca="1" si="92"/>
        <v>469.88021845424123</v>
      </c>
      <c r="AG231" s="306">
        <f t="shared" ca="1" si="114"/>
        <v>35.343256500708414</v>
      </c>
      <c r="AH231" s="304">
        <f t="shared" ca="1" si="115"/>
        <v>44.967588560835843</v>
      </c>
    </row>
    <row r="232" spans="1:34" x14ac:dyDescent="0.2">
      <c r="A232" s="347">
        <f t="shared" ca="1" si="93"/>
        <v>0.01</v>
      </c>
      <c r="B232" s="304">
        <f t="shared" ca="1" si="94"/>
        <v>2.2799999999999954</v>
      </c>
      <c r="D232" s="306">
        <f t="shared" ca="1" si="95"/>
        <v>8.635319994535239</v>
      </c>
      <c r="E232" s="307">
        <f t="shared" ca="1" si="96"/>
        <v>33.926565055327522</v>
      </c>
      <c r="F232" s="304">
        <f t="shared" ca="1" si="97"/>
        <v>35.008292844144663</v>
      </c>
      <c r="G232" s="306">
        <f t="shared" ca="1" si="98"/>
        <v>55.749153513562732</v>
      </c>
      <c r="H232" s="307">
        <f t="shared" ca="1" si="99"/>
        <v>282.26277151007861</v>
      </c>
      <c r="I232" s="304">
        <f t="shared" ca="1" si="100"/>
        <v>287.71555449441666</v>
      </c>
      <c r="J232" s="306">
        <f t="shared" ca="1" si="101"/>
        <v>89.74250793900822</v>
      </c>
      <c r="K232" s="307">
        <f t="shared" ca="1" si="102"/>
        <v>472.70114984108926</v>
      </c>
      <c r="L232" s="304">
        <f t="shared" ca="1" si="87"/>
        <v>481.14456745584368</v>
      </c>
      <c r="M232" s="306">
        <f t="shared" ca="1" si="103"/>
        <v>1.37579807174941</v>
      </c>
      <c r="N232" s="304">
        <f t="shared" ca="1" si="104"/>
        <v>78.827422973478008</v>
      </c>
      <c r="P232" s="310">
        <f t="shared" ca="1" si="105"/>
        <v>6</v>
      </c>
      <c r="Q232" s="304">
        <f t="shared" ca="1" si="106"/>
        <v>545.8500000000007</v>
      </c>
      <c r="R232" s="306">
        <f t="shared" ca="1" si="107"/>
        <v>0.27393668290929263</v>
      </c>
      <c r="S232" s="307">
        <f t="shared" ca="1" si="108"/>
        <v>5.2199447356889177</v>
      </c>
      <c r="T232" s="304">
        <f t="shared" ca="1" si="88"/>
        <v>51.207657857108288</v>
      </c>
      <c r="U232" s="311">
        <f t="shared" ca="1" si="89"/>
        <v>0</v>
      </c>
      <c r="V232" s="306">
        <f t="shared" ca="1" si="90"/>
        <v>1.1684311179245803</v>
      </c>
      <c r="W232" s="304">
        <f t="shared" ca="1" si="91"/>
        <v>313.81392903892038</v>
      </c>
      <c r="Y232" s="314" t="str">
        <f t="shared" ca="1" si="109"/>
        <v/>
      </c>
      <c r="Z232" s="315" t="str">
        <f t="shared" ca="1" si="110"/>
        <v/>
      </c>
      <c r="AA232" s="316" t="str">
        <f t="shared" ca="1" si="111"/>
        <v/>
      </c>
      <c r="AC232" s="310" t="e">
        <f t="shared" ca="1" si="112"/>
        <v>#N/A</v>
      </c>
      <c r="AD232" s="323" t="e">
        <f t="shared" ca="1" si="113"/>
        <v>#N/A</v>
      </c>
      <c r="AE232" s="324">
        <f t="shared" ca="1" si="92"/>
        <v>472.70114984108926</v>
      </c>
      <c r="AG232" s="306">
        <f t="shared" ca="1" si="114"/>
        <v>34.956684884342039</v>
      </c>
      <c r="AH232" s="304">
        <f t="shared" ca="1" si="115"/>
        <v>44.580891357698498</v>
      </c>
    </row>
    <row r="233" spans="1:34" x14ac:dyDescent="0.2">
      <c r="A233" s="347">
        <f t="shared" ca="1" si="93"/>
        <v>0.01</v>
      </c>
      <c r="B233" s="304">
        <f t="shared" ca="1" si="94"/>
        <v>2.2899999999999952</v>
      </c>
      <c r="D233" s="306">
        <f t="shared" ca="1" si="95"/>
        <v>8.5634867121418399</v>
      </c>
      <c r="E233" s="307">
        <f t="shared" ca="1" si="96"/>
        <v>33.547671656320972</v>
      </c>
      <c r="F233" s="304">
        <f t="shared" ca="1" si="97"/>
        <v>34.623396399390849</v>
      </c>
      <c r="G233" s="306">
        <f t="shared" ca="1" si="98"/>
        <v>55.834788380684152</v>
      </c>
      <c r="H233" s="307">
        <f t="shared" ca="1" si="99"/>
        <v>282.59824822664183</v>
      </c>
      <c r="I233" s="304">
        <f t="shared" ca="1" si="100"/>
        <v>288.06126691084739</v>
      </c>
      <c r="J233" s="306">
        <f t="shared" ca="1" si="101"/>
        <v>90.300427648479456</v>
      </c>
      <c r="K233" s="307">
        <f t="shared" ca="1" si="102"/>
        <v>475.52545493977289</v>
      </c>
      <c r="L233" s="304">
        <f t="shared" ca="1" si="87"/>
        <v>484.02337291620148</v>
      </c>
      <c r="M233" s="306">
        <f t="shared" ca="1" si="103"/>
        <v>1.3757320846440917</v>
      </c>
      <c r="N233" s="304">
        <f t="shared" ca="1" si="104"/>
        <v>78.823642190840985</v>
      </c>
      <c r="P233" s="310">
        <f t="shared" ca="1" si="105"/>
        <v>6</v>
      </c>
      <c r="Q233" s="304">
        <f t="shared" ca="1" si="106"/>
        <v>544.39000000000067</v>
      </c>
      <c r="R233" s="306">
        <f t="shared" ca="1" si="107"/>
        <v>0.27320397693320475</v>
      </c>
      <c r="S233" s="307">
        <f t="shared" ca="1" si="108"/>
        <v>5.2172126959195859</v>
      </c>
      <c r="T233" s="304">
        <f t="shared" ca="1" si="88"/>
        <v>51.180856546971143</v>
      </c>
      <c r="U233" s="311">
        <f t="shared" ca="1" si="89"/>
        <v>0</v>
      </c>
      <c r="V233" s="306">
        <f t="shared" ca="1" si="90"/>
        <v>1.1681009784258616</v>
      </c>
      <c r="W233" s="304">
        <f t="shared" ca="1" si="91"/>
        <v>314.47964422515594</v>
      </c>
      <c r="Y233" s="314" t="str">
        <f t="shared" ca="1" si="109"/>
        <v/>
      </c>
      <c r="Z233" s="315" t="str">
        <f t="shared" ca="1" si="110"/>
        <v/>
      </c>
      <c r="AA233" s="316" t="str">
        <f t="shared" ca="1" si="111"/>
        <v/>
      </c>
      <c r="AC233" s="310" t="e">
        <f t="shared" ca="1" si="112"/>
        <v>#N/A</v>
      </c>
      <c r="AD233" s="323" t="e">
        <f t="shared" ca="1" si="113"/>
        <v>#N/A</v>
      </c>
      <c r="AE233" s="324">
        <f t="shared" ca="1" si="92"/>
        <v>475.52545493977289</v>
      </c>
      <c r="AG233" s="306">
        <f t="shared" ca="1" si="114"/>
        <v>34.571178927842219</v>
      </c>
      <c r="AH233" s="304">
        <f t="shared" ca="1" si="115"/>
        <v>44.1952598830052</v>
      </c>
    </row>
    <row r="234" spans="1:34" x14ac:dyDescent="0.2">
      <c r="A234" s="347">
        <f t="shared" ca="1" si="93"/>
        <v>0.01</v>
      </c>
      <c r="B234" s="304">
        <f t="shared" ca="1" si="94"/>
        <v>2.2999999999999949</v>
      </c>
      <c r="D234" s="306">
        <f t="shared" ca="1" si="95"/>
        <v>8.4918081882167051</v>
      </c>
      <c r="E234" s="307">
        <f t="shared" ca="1" si="96"/>
        <v>33.169837263910651</v>
      </c>
      <c r="F234" s="304">
        <f t="shared" ca="1" si="97"/>
        <v>34.239581049127629</v>
      </c>
      <c r="G234" s="306">
        <f t="shared" ca="1" si="98"/>
        <v>55.919706462566317</v>
      </c>
      <c r="H234" s="307">
        <f t="shared" ca="1" si="99"/>
        <v>282.92994659928092</v>
      </c>
      <c r="I234" s="304">
        <f t="shared" ca="1" si="100"/>
        <v>288.40313495787723</v>
      </c>
      <c r="J234" s="306">
        <f t="shared" ca="1" si="101"/>
        <v>90.859200122695711</v>
      </c>
      <c r="K234" s="307">
        <f t="shared" ca="1" si="102"/>
        <v>478.35309591390251</v>
      </c>
      <c r="L234" s="304">
        <f t="shared" ca="1" si="87"/>
        <v>486.90561571761657</v>
      </c>
      <c r="M234" s="306">
        <f t="shared" ca="1" si="103"/>
        <v>1.3756661537388273</v>
      </c>
      <c r="N234" s="304">
        <f t="shared" ca="1" si="104"/>
        <v>78.819864628229851</v>
      </c>
      <c r="P234" s="310">
        <f t="shared" ca="1" si="105"/>
        <v>6</v>
      </c>
      <c r="Q234" s="304">
        <f t="shared" ca="1" si="106"/>
        <v>542.93000000000075</v>
      </c>
      <c r="R234" s="306">
        <f t="shared" ca="1" si="107"/>
        <v>0.27247127095711693</v>
      </c>
      <c r="S234" s="307">
        <f t="shared" ca="1" si="108"/>
        <v>5.2144879832100148</v>
      </c>
      <c r="T234" s="304">
        <f t="shared" ca="1" si="88"/>
        <v>51.154127115290251</v>
      </c>
      <c r="U234" s="311">
        <f t="shared" ca="1" si="89"/>
        <v>0</v>
      </c>
      <c r="V234" s="306">
        <f t="shared" ca="1" si="90"/>
        <v>1.1677705402138561</v>
      </c>
      <c r="W234" s="304">
        <f t="shared" ca="1" si="91"/>
        <v>315.13735650455567</v>
      </c>
      <c r="Y234" s="314" t="str">
        <f t="shared" ca="1" si="109"/>
        <v/>
      </c>
      <c r="Z234" s="315" t="str">
        <f t="shared" ca="1" si="110"/>
        <v/>
      </c>
      <c r="AA234" s="316" t="str">
        <f t="shared" ca="1" si="111"/>
        <v/>
      </c>
      <c r="AC234" s="310" t="e">
        <f t="shared" ca="1" si="112"/>
        <v>#N/A</v>
      </c>
      <c r="AD234" s="323" t="e">
        <f t="shared" ca="1" si="113"/>
        <v>#N/A</v>
      </c>
      <c r="AE234" s="324">
        <f t="shared" ca="1" si="92"/>
        <v>478.35309591390251</v>
      </c>
      <c r="AG234" s="306">
        <f t="shared" ca="1" si="114"/>
        <v>34.186742020232153</v>
      </c>
      <c r="AH234" s="304">
        <f t="shared" ca="1" si="115"/>
        <v>43.810697523980451</v>
      </c>
    </row>
    <row r="235" spans="1:34" x14ac:dyDescent="0.2">
      <c r="A235" s="347">
        <f t="shared" ca="1" si="93"/>
        <v>0.01</v>
      </c>
      <c r="B235" s="304">
        <f t="shared" ca="1" si="94"/>
        <v>2.3099999999999947</v>
      </c>
      <c r="D235" s="306">
        <f t="shared" ca="1" si="95"/>
        <v>8.4202853744978317</v>
      </c>
      <c r="E235" s="307">
        <f t="shared" ca="1" si="96"/>
        <v>32.793065038479156</v>
      </c>
      <c r="F235" s="304">
        <f t="shared" ca="1" si="97"/>
        <v>33.856850420644655</v>
      </c>
      <c r="G235" s="306">
        <f t="shared" ca="1" si="98"/>
        <v>56.003909316311294</v>
      </c>
      <c r="H235" s="307">
        <f t="shared" ca="1" si="99"/>
        <v>283.25787724966574</v>
      </c>
      <c r="I235" s="304">
        <f t="shared" ca="1" si="100"/>
        <v>288.74116935881574</v>
      </c>
      <c r="J235" s="306">
        <f t="shared" ca="1" si="101"/>
        <v>91.418818201590099</v>
      </c>
      <c r="K235" s="307">
        <f t="shared" ca="1" si="102"/>
        <v>481.18403503314727</v>
      </c>
      <c r="L235" s="304">
        <f t="shared" ca="1" si="87"/>
        <v>489.7912574680733</v>
      </c>
      <c r="M235" s="306">
        <f t="shared" ca="1" si="103"/>
        <v>1.3756002780449292</v>
      </c>
      <c r="N235" s="304">
        <f t="shared" ca="1" si="104"/>
        <v>78.816090228996998</v>
      </c>
      <c r="P235" s="310">
        <f t="shared" ca="1" si="105"/>
        <v>6</v>
      </c>
      <c r="Q235" s="304">
        <f t="shared" ca="1" si="106"/>
        <v>541.47000000000071</v>
      </c>
      <c r="R235" s="306">
        <f t="shared" ca="1" si="107"/>
        <v>0.271738564981029</v>
      </c>
      <c r="S235" s="307">
        <f t="shared" ca="1" si="108"/>
        <v>5.2117705975602044</v>
      </c>
      <c r="T235" s="304">
        <f t="shared" ca="1" si="88"/>
        <v>51.127469562065606</v>
      </c>
      <c r="U235" s="311">
        <f t="shared" ca="1" si="89"/>
        <v>0</v>
      </c>
      <c r="V235" s="306">
        <f t="shared" ca="1" si="90"/>
        <v>1.1674398079810866</v>
      </c>
      <c r="W235" s="304">
        <f t="shared" ca="1" si="91"/>
        <v>315.78706652373995</v>
      </c>
      <c r="Y235" s="314" t="str">
        <f t="shared" ca="1" si="109"/>
        <v/>
      </c>
      <c r="Z235" s="315" t="str">
        <f t="shared" ca="1" si="110"/>
        <v/>
      </c>
      <c r="AA235" s="316" t="str">
        <f t="shared" ca="1" si="111"/>
        <v/>
      </c>
      <c r="AC235" s="310" t="e">
        <f t="shared" ca="1" si="112"/>
        <v>#N/A</v>
      </c>
      <c r="AD235" s="323" t="e">
        <f t="shared" ca="1" si="113"/>
        <v>#N/A</v>
      </c>
      <c r="AE235" s="324">
        <f t="shared" ca="1" si="92"/>
        <v>481.18403503314727</v>
      </c>
      <c r="AG235" s="306">
        <f t="shared" ca="1" si="114"/>
        <v>33.803377442691485</v>
      </c>
      <c r="AH235" s="304">
        <f t="shared" ca="1" si="115"/>
        <v>43.427207560017806</v>
      </c>
    </row>
    <row r="236" spans="1:34" x14ac:dyDescent="0.2">
      <c r="A236" s="347">
        <f t="shared" ca="1" si="93"/>
        <v>0.01</v>
      </c>
      <c r="B236" s="304">
        <f t="shared" ca="1" si="94"/>
        <v>2.3199999999999945</v>
      </c>
      <c r="D236" s="306">
        <f t="shared" ca="1" si="95"/>
        <v>8.3489192006208857</v>
      </c>
      <c r="E236" s="307">
        <f t="shared" ca="1" si="96"/>
        <v>32.417358035665998</v>
      </c>
      <c r="F236" s="304">
        <f t="shared" ca="1" si="97"/>
        <v>33.47520804761421</v>
      </c>
      <c r="G236" s="306">
        <f t="shared" ca="1" si="98"/>
        <v>56.087398508317506</v>
      </c>
      <c r="H236" s="307">
        <f t="shared" ca="1" si="99"/>
        <v>283.58205083002241</v>
      </c>
      <c r="I236" s="304">
        <f t="shared" ca="1" si="100"/>
        <v>289.07538086871432</v>
      </c>
      <c r="J236" s="306">
        <f t="shared" ca="1" si="101"/>
        <v>91.979274740713237</v>
      </c>
      <c r="K236" s="307">
        <f t="shared" ca="1" si="102"/>
        <v>484.01823467354569</v>
      </c>
      <c r="L236" s="304">
        <f t="shared" ca="1" si="87"/>
        <v>492.68025988294187</v>
      </c>
      <c r="M236" s="306">
        <f t="shared" ca="1" si="103"/>
        <v>1.3755344565814935</v>
      </c>
      <c r="N236" s="304">
        <f t="shared" ca="1" si="104"/>
        <v>78.81231893694077</v>
      </c>
      <c r="P236" s="310">
        <f t="shared" ca="1" si="105"/>
        <v>6</v>
      </c>
      <c r="Q236" s="304">
        <f t="shared" ca="1" si="106"/>
        <v>540.01000000000079</v>
      </c>
      <c r="R236" s="306">
        <f t="shared" ca="1" si="107"/>
        <v>0.27100585900494117</v>
      </c>
      <c r="S236" s="307">
        <f t="shared" ca="1" si="108"/>
        <v>5.2090605389701548</v>
      </c>
      <c r="T236" s="304">
        <f t="shared" ca="1" si="88"/>
        <v>51.100883887297222</v>
      </c>
      <c r="U236" s="311">
        <f t="shared" ca="1" si="89"/>
        <v>0</v>
      </c>
      <c r="V236" s="306">
        <f t="shared" ca="1" si="90"/>
        <v>1.1671087864029095</v>
      </c>
      <c r="W236" s="304">
        <f t="shared" ca="1" si="91"/>
        <v>316.42877546904538</v>
      </c>
      <c r="Y236" s="314" t="str">
        <f t="shared" ca="1" si="109"/>
        <v/>
      </c>
      <c r="Z236" s="315" t="str">
        <f t="shared" ca="1" si="110"/>
        <v/>
      </c>
      <c r="AA236" s="316" t="str">
        <f t="shared" ca="1" si="111"/>
        <v/>
      </c>
      <c r="AC236" s="310" t="e">
        <f t="shared" ca="1" si="112"/>
        <v>#N/A</v>
      </c>
      <c r="AD236" s="323" t="e">
        <f t="shared" ca="1" si="113"/>
        <v>#N/A</v>
      </c>
      <c r="AE236" s="324">
        <f t="shared" ca="1" si="92"/>
        <v>484.01823467354569</v>
      </c>
      <c r="AG236" s="306">
        <f t="shared" ca="1" si="114"/>
        <v>33.421088369403648</v>
      </c>
      <c r="AH236" s="304">
        <f t="shared" ca="1" si="115"/>
        <v>43.044793163527011</v>
      </c>
    </row>
    <row r="237" spans="1:34" x14ac:dyDescent="0.2">
      <c r="A237" s="347">
        <f t="shared" ca="1" si="93"/>
        <v>0.01</v>
      </c>
      <c r="B237" s="304">
        <f t="shared" ca="1" si="94"/>
        <v>2.3299999999999943</v>
      </c>
      <c r="D237" s="306">
        <f t="shared" ca="1" si="95"/>
        <v>8.2777105742782169</v>
      </c>
      <c r="E237" s="307">
        <f t="shared" ca="1" si="96"/>
        <v>32.042719207204257</v>
      </c>
      <c r="F237" s="304">
        <f t="shared" ca="1" si="97"/>
        <v>33.094657371594799</v>
      </c>
      <c r="G237" s="306">
        <f t="shared" ca="1" si="98"/>
        <v>56.170175614060291</v>
      </c>
      <c r="H237" s="307">
        <f t="shared" ca="1" si="99"/>
        <v>283.90247802209444</v>
      </c>
      <c r="I237" s="304">
        <f t="shared" ca="1" si="100"/>
        <v>289.40578027330446</v>
      </c>
      <c r="J237" s="306">
        <f t="shared" ca="1" si="101"/>
        <v>92.540562611325129</v>
      </c>
      <c r="K237" s="307">
        <f t="shared" ca="1" si="102"/>
        <v>486.85565731780628</v>
      </c>
      <c r="L237" s="304">
        <f t="shared" ca="1" si="87"/>
        <v>495.57258478529036</v>
      </c>
      <c r="M237" s="306">
        <f t="shared" ca="1" si="103"/>
        <v>1.3754686883752878</v>
      </c>
      <c r="N237" s="304">
        <f t="shared" ca="1" si="104"/>
        <v>78.808550696299022</v>
      </c>
      <c r="P237" s="310">
        <f t="shared" ca="1" si="105"/>
        <v>6</v>
      </c>
      <c r="Q237" s="304">
        <f t="shared" ca="1" si="106"/>
        <v>538.55000000000086</v>
      </c>
      <c r="R237" s="306">
        <f t="shared" ca="1" si="107"/>
        <v>0.27027315302885335</v>
      </c>
      <c r="S237" s="307">
        <f t="shared" ca="1" si="108"/>
        <v>5.2063578074398666</v>
      </c>
      <c r="T237" s="304">
        <f t="shared" ca="1" si="88"/>
        <v>51.074370090985092</v>
      </c>
      <c r="U237" s="311">
        <f t="shared" ca="1" si="89"/>
        <v>0</v>
      </c>
      <c r="V237" s="306">
        <f t="shared" ca="1" si="90"/>
        <v>1.1667774801374871</v>
      </c>
      <c r="W237" s="304">
        <f t="shared" ca="1" si="91"/>
        <v>317.06248506041163</v>
      </c>
      <c r="Y237" s="314" t="str">
        <f t="shared" ca="1" si="109"/>
        <v/>
      </c>
      <c r="Z237" s="315" t="str">
        <f t="shared" ca="1" si="110"/>
        <v/>
      </c>
      <c r="AA237" s="316" t="str">
        <f t="shared" ca="1" si="111"/>
        <v/>
      </c>
      <c r="AC237" s="310" t="e">
        <f t="shared" ca="1" si="112"/>
        <v>#N/A</v>
      </c>
      <c r="AD237" s="323" t="e">
        <f t="shared" ca="1" si="113"/>
        <v>#N/A</v>
      </c>
      <c r="AE237" s="324">
        <f t="shared" ca="1" si="92"/>
        <v>486.85565731780628</v>
      </c>
      <c r="AG237" s="306">
        <f t="shared" ca="1" si="114"/>
        <v>33.03987786840711</v>
      </c>
      <c r="AH237" s="304">
        <f t="shared" ca="1" si="115"/>
        <v>42.663457400785063</v>
      </c>
    </row>
    <row r="238" spans="1:34" x14ac:dyDescent="0.2">
      <c r="A238" s="347">
        <f t="shared" ca="1" si="93"/>
        <v>0.01</v>
      </c>
      <c r="B238" s="304">
        <f t="shared" ca="1" si="94"/>
        <v>2.3399999999999941</v>
      </c>
      <c r="D238" s="306">
        <f t="shared" ca="1" si="95"/>
        <v>8.2066603813786578</v>
      </c>
      <c r="E238" s="307">
        <f t="shared" ca="1" si="96"/>
        <v>31.66915140176166</v>
      </c>
      <c r="F238" s="304">
        <f t="shared" ca="1" si="97"/>
        <v>32.715201743577751</v>
      </c>
      <c r="G238" s="306">
        <f t="shared" ca="1" si="98"/>
        <v>56.252242217874077</v>
      </c>
      <c r="H238" s="307">
        <f t="shared" ca="1" si="99"/>
        <v>284.21916953611208</v>
      </c>
      <c r="I238" s="304">
        <f t="shared" ca="1" si="100"/>
        <v>289.73237838794546</v>
      </c>
      <c r="J238" s="306">
        <f t="shared" ca="1" si="101"/>
        <v>93.102674700484798</v>
      </c>
      <c r="K238" s="307">
        <f t="shared" ca="1" si="102"/>
        <v>489.69626555559734</v>
      </c>
      <c r="L238" s="304">
        <f t="shared" ca="1" si="87"/>
        <v>498.4681941061861</v>
      </c>
      <c r="M238" s="306">
        <f t="shared" ca="1" si="103"/>
        <v>1.3754029724606409</v>
      </c>
      <c r="N238" s="304">
        <f t="shared" ca="1" si="104"/>
        <v>78.804785451742916</v>
      </c>
      <c r="P238" s="310">
        <f t="shared" ca="1" si="105"/>
        <v>6</v>
      </c>
      <c r="Q238" s="304">
        <f t="shared" ca="1" si="106"/>
        <v>537.09000000000083</v>
      </c>
      <c r="R238" s="306">
        <f t="shared" ca="1" si="107"/>
        <v>0.26954044705276542</v>
      </c>
      <c r="S238" s="307">
        <f t="shared" ca="1" si="108"/>
        <v>5.2036624029693392</v>
      </c>
      <c r="T238" s="304">
        <f t="shared" ca="1" si="88"/>
        <v>51.047928173129222</v>
      </c>
      <c r="U238" s="311">
        <f t="shared" ca="1" si="89"/>
        <v>0</v>
      </c>
      <c r="V238" s="306">
        <f t="shared" ca="1" si="90"/>
        <v>1.1664458938257629</v>
      </c>
      <c r="W238" s="304">
        <f t="shared" ca="1" si="91"/>
        <v>317.68819754527715</v>
      </c>
      <c r="Y238" s="314" t="str">
        <f t="shared" ca="1" si="109"/>
        <v/>
      </c>
      <c r="Z238" s="315" t="str">
        <f t="shared" ca="1" si="110"/>
        <v/>
      </c>
      <c r="AA238" s="316" t="str">
        <f t="shared" ca="1" si="111"/>
        <v/>
      </c>
      <c r="AC238" s="310" t="e">
        <f t="shared" ca="1" si="112"/>
        <v>#N/A</v>
      </c>
      <c r="AD238" s="323" t="e">
        <f t="shared" ca="1" si="113"/>
        <v>#N/A</v>
      </c>
      <c r="AE238" s="324">
        <f t="shared" ca="1" si="92"/>
        <v>489.69626555559734</v>
      </c>
      <c r="AG238" s="306">
        <f t="shared" ca="1" si="114"/>
        <v>32.659748902450936</v>
      </c>
      <c r="AH238" s="304">
        <f t="shared" ca="1" si="115"/>
        <v>42.283203232791585</v>
      </c>
    </row>
    <row r="239" spans="1:34" x14ac:dyDescent="0.2">
      <c r="A239" s="347">
        <f t="shared" ca="1" si="93"/>
        <v>0.01</v>
      </c>
      <c r="B239" s="304">
        <f t="shared" ca="1" si="94"/>
        <v>2.3499999999999939</v>
      </c>
      <c r="D239" s="306">
        <f t="shared" ca="1" si="95"/>
        <v>8.1357694862079555</v>
      </c>
      <c r="E239" s="307">
        <f t="shared" ca="1" si="96"/>
        <v>31.296657365784476</v>
      </c>
      <c r="F239" s="304">
        <f t="shared" ca="1" si="97"/>
        <v>32.33684442557783</v>
      </c>
      <c r="G239" s="306">
        <f t="shared" ca="1" si="98"/>
        <v>56.333599912736155</v>
      </c>
      <c r="H239" s="307">
        <f t="shared" ca="1" si="99"/>
        <v>284.53213610976991</v>
      </c>
      <c r="I239" s="304">
        <f t="shared" ca="1" si="100"/>
        <v>290.05518605657932</v>
      </c>
      <c r="J239" s="306">
        <f t="shared" ca="1" si="101"/>
        <v>93.66560391113785</v>
      </c>
      <c r="K239" s="307">
        <f t="shared" ca="1" si="102"/>
        <v>492.54002208382673</v>
      </c>
      <c r="L239" s="304">
        <f t="shared" ca="1" si="87"/>
        <v>501.36704988498661</v>
      </c>
      <c r="M239" s="306">
        <f t="shared" ca="1" si="103"/>
        <v>1.3753373078793334</v>
      </c>
      <c r="N239" s="304">
        <f t="shared" ca="1" si="104"/>
        <v>78.801023148370504</v>
      </c>
      <c r="P239" s="310">
        <f t="shared" ca="1" si="105"/>
        <v>6</v>
      </c>
      <c r="Q239" s="304">
        <f t="shared" ca="1" si="106"/>
        <v>535.6300000000009</v>
      </c>
      <c r="R239" s="306">
        <f t="shared" ca="1" si="107"/>
        <v>0.2688077410766776</v>
      </c>
      <c r="S239" s="307">
        <f t="shared" ca="1" si="108"/>
        <v>5.2009743255585725</v>
      </c>
      <c r="T239" s="304">
        <f t="shared" ca="1" si="88"/>
        <v>51.021558133729599</v>
      </c>
      <c r="U239" s="311">
        <f t="shared" ca="1" si="89"/>
        <v>0</v>
      </c>
      <c r="V239" s="306">
        <f t="shared" ca="1" si="90"/>
        <v>1.1661140320914369</v>
      </c>
      <c r="W239" s="304">
        <f t="shared" ca="1" si="91"/>
        <v>318.3059156924781</v>
      </c>
      <c r="Y239" s="314" t="str">
        <f t="shared" ca="1" si="109"/>
        <v/>
      </c>
      <c r="Z239" s="315" t="str">
        <f t="shared" ca="1" si="110"/>
        <v/>
      </c>
      <c r="AA239" s="316" t="str">
        <f t="shared" ca="1" si="111"/>
        <v/>
      </c>
      <c r="AC239" s="310" t="e">
        <f t="shared" ca="1" si="112"/>
        <v>#N/A</v>
      </c>
      <c r="AD239" s="323" t="e">
        <f t="shared" ca="1" si="113"/>
        <v>#N/A</v>
      </c>
      <c r="AE239" s="324">
        <f t="shared" ca="1" si="92"/>
        <v>492.54002208382673</v>
      </c>
      <c r="AG239" s="306">
        <f t="shared" ca="1" si="114"/>
        <v>32.280704329853378</v>
      </c>
      <c r="AH239" s="304">
        <f t="shared" ca="1" si="115"/>
        <v>41.904033516127249</v>
      </c>
    </row>
    <row r="240" spans="1:34" x14ac:dyDescent="0.2">
      <c r="A240" s="347">
        <f t="shared" ca="1" si="93"/>
        <v>0.01</v>
      </c>
      <c r="B240" s="304">
        <f t="shared" ca="1" si="94"/>
        <v>2.3599999999999937</v>
      </c>
      <c r="D240" s="306">
        <f t="shared" ca="1" si="95"/>
        <v>8.0650387315900662</v>
      </c>
      <c r="E240" s="307">
        <f t="shared" ca="1" si="96"/>
        <v>30.925239744345539</v>
      </c>
      <c r="F240" s="304">
        <f t="shared" ca="1" si="97"/>
        <v>31.959588592272222</v>
      </c>
      <c r="G240" s="306">
        <f t="shared" ca="1" si="98"/>
        <v>56.414250300052053</v>
      </c>
      <c r="H240" s="307">
        <f t="shared" ca="1" si="99"/>
        <v>284.84138850721337</v>
      </c>
      <c r="I240" s="304">
        <f t="shared" ca="1" si="100"/>
        <v>290.37421415069588</v>
      </c>
      <c r="J240" s="306">
        <f t="shared" ca="1" si="101"/>
        <v>94.229343162201786</v>
      </c>
      <c r="K240" s="307">
        <f t="shared" ca="1" si="102"/>
        <v>495.38688970691163</v>
      </c>
      <c r="L240" s="304">
        <f t="shared" ca="1" si="87"/>
        <v>504.26911426962073</v>
      </c>
      <c r="M240" s="306">
        <f t="shared" ca="1" si="103"/>
        <v>1.3752716936804903</v>
      </c>
      <c r="N240" s="304">
        <f t="shared" ca="1" si="104"/>
        <v>78.797263731700667</v>
      </c>
      <c r="P240" s="310">
        <f t="shared" ca="1" si="105"/>
        <v>6</v>
      </c>
      <c r="Q240" s="304">
        <f t="shared" ca="1" si="106"/>
        <v>534.17000000000087</v>
      </c>
      <c r="R240" s="306">
        <f t="shared" ca="1" si="107"/>
        <v>0.26807503510058972</v>
      </c>
      <c r="S240" s="307">
        <f t="shared" ca="1" si="108"/>
        <v>5.1982935752075665</v>
      </c>
      <c r="T240" s="304">
        <f t="shared" ca="1" si="88"/>
        <v>50.995259972786229</v>
      </c>
      <c r="U240" s="311">
        <f t="shared" ca="1" si="89"/>
        <v>0</v>
      </c>
      <c r="V240" s="306">
        <f t="shared" ca="1" si="90"/>
        <v>1.1657818995409417</v>
      </c>
      <c r="W240" s="304">
        <f t="shared" ca="1" si="91"/>
        <v>318.91564278615942</v>
      </c>
      <c r="Y240" s="314" t="str">
        <f t="shared" ca="1" si="109"/>
        <v/>
      </c>
      <c r="Z240" s="315" t="str">
        <f t="shared" ca="1" si="110"/>
        <v/>
      </c>
      <c r="AA240" s="316" t="str">
        <f t="shared" ca="1" si="111"/>
        <v/>
      </c>
      <c r="AC240" s="310" t="e">
        <f t="shared" ca="1" si="112"/>
        <v>#N/A</v>
      </c>
      <c r="AD240" s="323" t="e">
        <f t="shared" ca="1" si="113"/>
        <v>#N/A</v>
      </c>
      <c r="AE240" s="324">
        <f t="shared" ca="1" si="92"/>
        <v>495.38688970691163</v>
      </c>
      <c r="AG240" s="306">
        <f t="shared" ca="1" si="114"/>
        <v>31.902746905364666</v>
      </c>
      <c r="AH240" s="304">
        <f t="shared" ca="1" si="115"/>
        <v>41.52595100381636</v>
      </c>
    </row>
    <row r="241" spans="1:34" x14ac:dyDescent="0.2">
      <c r="A241" s="347">
        <f t="shared" ca="1" si="93"/>
        <v>0.01</v>
      </c>
      <c r="B241" s="304">
        <f t="shared" ca="1" si="94"/>
        <v>2.3699999999999934</v>
      </c>
      <c r="D241" s="306">
        <f t="shared" ca="1" si="95"/>
        <v>7.9944689390490069</v>
      </c>
      <c r="E241" s="307">
        <f t="shared" ca="1" si="96"/>
        <v>30.554901081994998</v>
      </c>
      <c r="F241" s="304">
        <f t="shared" ca="1" si="97"/>
        <v>31.5834373326894</v>
      </c>
      <c r="G241" s="306">
        <f t="shared" ca="1" si="98"/>
        <v>56.494194989442541</v>
      </c>
      <c r="H241" s="307">
        <f t="shared" ca="1" si="99"/>
        <v>285.14693751803333</v>
      </c>
      <c r="I241" s="304">
        <f t="shared" ca="1" si="100"/>
        <v>290.68947356830512</v>
      </c>
      <c r="J241" s="306">
        <f t="shared" ca="1" si="101"/>
        <v>94.793885388649258</v>
      </c>
      <c r="K241" s="307">
        <f t="shared" ca="1" si="102"/>
        <v>498.23683133703787</v>
      </c>
      <c r="L241" s="304">
        <f t="shared" ca="1" si="87"/>
        <v>507.17434951685823</v>
      </c>
      <c r="M241" s="306">
        <f t="shared" ca="1" si="103"/>
        <v>1.3752061289204751</v>
      </c>
      <c r="N241" s="304">
        <f t="shared" ca="1" si="104"/>
        <v>78.793507147667</v>
      </c>
      <c r="P241" s="310">
        <f t="shared" ca="1" si="105"/>
        <v>6</v>
      </c>
      <c r="Q241" s="304">
        <f t="shared" ca="1" si="106"/>
        <v>532.71000000000095</v>
      </c>
      <c r="R241" s="306">
        <f t="shared" ca="1" si="107"/>
        <v>0.2673423291245019</v>
      </c>
      <c r="S241" s="307">
        <f t="shared" ca="1" si="108"/>
        <v>5.1956201519163212</v>
      </c>
      <c r="T241" s="304">
        <f t="shared" ca="1" si="88"/>
        <v>50.969033690299113</v>
      </c>
      <c r="U241" s="311">
        <f t="shared" ca="1" si="89"/>
        <v>0</v>
      </c>
      <c r="V241" s="306">
        <f t="shared" ca="1" si="90"/>
        <v>1.1654495007634214</v>
      </c>
      <c r="W241" s="304">
        <f t="shared" ca="1" si="91"/>
        <v>319.51738261969246</v>
      </c>
      <c r="Y241" s="314" t="str">
        <f t="shared" ca="1" si="109"/>
        <v/>
      </c>
      <c r="Z241" s="315" t="str">
        <f t="shared" ca="1" si="110"/>
        <v/>
      </c>
      <c r="AA241" s="316" t="str">
        <f t="shared" ca="1" si="111"/>
        <v/>
      </c>
      <c r="AC241" s="310" t="e">
        <f t="shared" ca="1" si="112"/>
        <v>#N/A</v>
      </c>
      <c r="AD241" s="323" t="e">
        <f t="shared" ca="1" si="113"/>
        <v>#N/A</v>
      </c>
      <c r="AE241" s="324">
        <f t="shared" ca="1" si="92"/>
        <v>498.23683133703787</v>
      </c>
      <c r="AG241" s="306">
        <f t="shared" ca="1" si="114"/>
        <v>31.525879281032495</v>
      </c>
      <c r="AH241" s="304">
        <f t="shared" ca="1" si="115"/>
        <v>41.148958346192202</v>
      </c>
    </row>
    <row r="242" spans="1:34" x14ac:dyDescent="0.2">
      <c r="A242" s="347">
        <f t="shared" ca="1" si="93"/>
        <v>0.01</v>
      </c>
      <c r="B242" s="304">
        <f t="shared" ca="1" si="94"/>
        <v>2.3799999999999932</v>
      </c>
      <c r="D242" s="306">
        <f t="shared" ca="1" si="95"/>
        <v>7.9240609089714065</v>
      </c>
      <c r="E242" s="307">
        <f t="shared" ca="1" si="96"/>
        <v>30.185643823614313</v>
      </c>
      <c r="F242" s="304">
        <f t="shared" ca="1" si="97"/>
        <v>31.20839365195193</v>
      </c>
      <c r="G242" s="306">
        <f t="shared" ca="1" si="98"/>
        <v>56.573435598532257</v>
      </c>
      <c r="H242" s="307">
        <f t="shared" ca="1" si="99"/>
        <v>285.44879395626947</v>
      </c>
      <c r="I242" s="304">
        <f t="shared" ca="1" si="100"/>
        <v>291.00097523291919</v>
      </c>
      <c r="J242" s="306">
        <f t="shared" ca="1" si="101"/>
        <v>95.359223541589131</v>
      </c>
      <c r="K242" s="307">
        <f t="shared" ca="1" si="102"/>
        <v>501.08980999440939</v>
      </c>
      <c r="L242" s="304">
        <f t="shared" ca="1" si="87"/>
        <v>510.08271799257034</v>
      </c>
      <c r="M242" s="306">
        <f t="shared" ca="1" si="103"/>
        <v>1.3751406126627859</v>
      </c>
      <c r="N242" s="304">
        <f t="shared" ca="1" si="104"/>
        <v>78.789753342611917</v>
      </c>
      <c r="P242" s="310">
        <f t="shared" ca="1" si="105"/>
        <v>6</v>
      </c>
      <c r="Q242" s="304">
        <f t="shared" ca="1" si="106"/>
        <v>531.25000000000102</v>
      </c>
      <c r="R242" s="306">
        <f t="shared" ca="1" si="107"/>
        <v>0.26660962314841402</v>
      </c>
      <c r="S242" s="307">
        <f t="shared" ca="1" si="108"/>
        <v>5.1929540556848375</v>
      </c>
      <c r="T242" s="304">
        <f t="shared" ca="1" si="88"/>
        <v>50.942879286268258</v>
      </c>
      <c r="U242" s="311">
        <f t="shared" ca="1" si="89"/>
        <v>0</v>
      </c>
      <c r="V242" s="306">
        <f t="shared" ca="1" si="90"/>
        <v>1.1651168403307124</v>
      </c>
      <c r="W242" s="304">
        <f t="shared" ca="1" si="91"/>
        <v>320.11113948960457</v>
      </c>
      <c r="Y242" s="314" t="str">
        <f t="shared" ca="1" si="109"/>
        <v/>
      </c>
      <c r="Z242" s="315" t="str">
        <f t="shared" ca="1" si="110"/>
        <v/>
      </c>
      <c r="AA242" s="316" t="str">
        <f t="shared" ca="1" si="111"/>
        <v/>
      </c>
      <c r="AC242" s="310" t="e">
        <f t="shared" ca="1" si="112"/>
        <v>#N/A</v>
      </c>
      <c r="AD242" s="323" t="e">
        <f t="shared" ca="1" si="113"/>
        <v>#N/A</v>
      </c>
      <c r="AE242" s="324">
        <f t="shared" ca="1" si="92"/>
        <v>501.08980999440939</v>
      </c>
      <c r="AG242" s="306">
        <f t="shared" ca="1" si="114"/>
        <v>31.150104007070961</v>
      </c>
      <c r="AH242" s="304">
        <f t="shared" ca="1" si="115"/>
        <v>40.773058091765776</v>
      </c>
    </row>
    <row r="243" spans="1:34" x14ac:dyDescent="0.2">
      <c r="A243" s="347">
        <f t="shared" ca="1" si="93"/>
        <v>0.01</v>
      </c>
      <c r="B243" s="304">
        <f t="shared" ca="1" si="94"/>
        <v>2.389999999999993</v>
      </c>
      <c r="D243" s="306">
        <f t="shared" ca="1" si="95"/>
        <v>7.8538154207696138</v>
      </c>
      <c r="E243" s="307">
        <f t="shared" ca="1" si="96"/>
        <v>29.817470315272843</v>
      </c>
      <c r="F243" s="304">
        <f t="shared" ca="1" si="97"/>
        <v>30.834460473076152</v>
      </c>
      <c r="G243" s="306">
        <f t="shared" ca="1" si="98"/>
        <v>56.651973752739956</v>
      </c>
      <c r="H243" s="307">
        <f t="shared" ca="1" si="99"/>
        <v>285.74696865942218</v>
      </c>
      <c r="I243" s="304">
        <f t="shared" ca="1" si="100"/>
        <v>291.30873009254276</v>
      </c>
      <c r="J243" s="306">
        <f t="shared" ca="1" si="101"/>
        <v>95.925350588345495</v>
      </c>
      <c r="K243" s="307">
        <f t="shared" ca="1" si="102"/>
        <v>503.94578880748787</v>
      </c>
      <c r="L243" s="304">
        <f t="shared" ca="1" si="87"/>
        <v>512.99418217197956</v>
      </c>
      <c r="M243" s="306">
        <f t="shared" ca="1" si="103"/>
        <v>1.3750751439779525</v>
      </c>
      <c r="N243" s="304">
        <f t="shared" ca="1" si="104"/>
        <v>78.786002263280693</v>
      </c>
      <c r="P243" s="310">
        <f t="shared" ca="1" si="105"/>
        <v>6</v>
      </c>
      <c r="Q243" s="304">
        <f t="shared" ca="1" si="106"/>
        <v>529.79000000000099</v>
      </c>
      <c r="R243" s="306">
        <f t="shared" ca="1" si="107"/>
        <v>0.26587691717232614</v>
      </c>
      <c r="S243" s="307">
        <f t="shared" ca="1" si="108"/>
        <v>5.1902952865131144</v>
      </c>
      <c r="T243" s="304">
        <f t="shared" ca="1" si="88"/>
        <v>50.916796760693657</v>
      </c>
      <c r="U243" s="311">
        <f t="shared" ca="1" si="89"/>
        <v>0</v>
      </c>
      <c r="V243" s="306">
        <f t="shared" ca="1" si="90"/>
        <v>1.1647839227973227</v>
      </c>
      <c r="W243" s="304">
        <f t="shared" ca="1" si="91"/>
        <v>320.69691818951929</v>
      </c>
      <c r="Y243" s="314" t="str">
        <f t="shared" ca="1" si="109"/>
        <v/>
      </c>
      <c r="Z243" s="315" t="str">
        <f t="shared" ca="1" si="110"/>
        <v/>
      </c>
      <c r="AA243" s="316" t="str">
        <f t="shared" ca="1" si="111"/>
        <v/>
      </c>
      <c r="AC243" s="310" t="e">
        <f t="shared" ca="1" si="112"/>
        <v>#N/A</v>
      </c>
      <c r="AD243" s="323" t="e">
        <f t="shared" ca="1" si="113"/>
        <v>#N/A</v>
      </c>
      <c r="AE243" s="324">
        <f t="shared" ca="1" si="92"/>
        <v>503.94578880748787</v>
      </c>
      <c r="AG243" s="306">
        <f t="shared" ca="1" si="114"/>
        <v>30.775423532732081</v>
      </c>
      <c r="AH243" s="304">
        <f t="shared" ca="1" si="115"/>
        <v>40.398252688097152</v>
      </c>
    </row>
    <row r="244" spans="1:34" x14ac:dyDescent="0.2">
      <c r="A244" s="347">
        <f t="shared" ca="1" si="93"/>
        <v>0.01</v>
      </c>
      <c r="B244" s="304">
        <f t="shared" ca="1" si="94"/>
        <v>2.3999999999999928</v>
      </c>
      <c r="D244" s="306">
        <f t="shared" ca="1" si="95"/>
        <v>7.7837332330454068</v>
      </c>
      <c r="E244" s="307">
        <f t="shared" ca="1" si="96"/>
        <v>29.45038280508728</v>
      </c>
      <c r="F244" s="304">
        <f t="shared" ca="1" si="97"/>
        <v>30.4616406388329</v>
      </c>
      <c r="G244" s="306">
        <f t="shared" ca="1" si="98"/>
        <v>56.729811085070409</v>
      </c>
      <c r="H244" s="307">
        <f t="shared" ca="1" si="99"/>
        <v>286.04147248747307</v>
      </c>
      <c r="I244" s="304">
        <f t="shared" ca="1" si="100"/>
        <v>291.61274911867213</v>
      </c>
      <c r="J244" s="306">
        <f t="shared" ca="1" si="101"/>
        <v>96.492259512534545</v>
      </c>
      <c r="K244" s="307">
        <f t="shared" ca="1" si="102"/>
        <v>506.80473101322235</v>
      </c>
      <c r="L244" s="304">
        <f t="shared" ca="1" si="87"/>
        <v>515.90870463989938</v>
      </c>
      <c r="M244" s="306">
        <f t="shared" ca="1" si="103"/>
        <v>1.3750097219434356</v>
      </c>
      <c r="N244" s="304">
        <f t="shared" ca="1" si="104"/>
        <v>78.782253856815714</v>
      </c>
      <c r="P244" s="310">
        <f t="shared" ca="1" si="105"/>
        <v>6</v>
      </c>
      <c r="Q244" s="304">
        <f t="shared" ca="1" si="106"/>
        <v>528.33000000000106</v>
      </c>
      <c r="R244" s="306">
        <f t="shared" ca="1" si="107"/>
        <v>0.26514421119623832</v>
      </c>
      <c r="S244" s="307">
        <f t="shared" ca="1" si="108"/>
        <v>5.1876438444011521</v>
      </c>
      <c r="T244" s="304">
        <f t="shared" ca="1" si="88"/>
        <v>50.890786113575302</v>
      </c>
      <c r="U244" s="311">
        <f t="shared" ca="1" si="89"/>
        <v>0</v>
      </c>
      <c r="V244" s="306">
        <f t="shared" ca="1" si="90"/>
        <v>1.1644507527004166</v>
      </c>
      <c r="W244" s="304">
        <f t="shared" ca="1" si="91"/>
        <v>321.27472400410977</v>
      </c>
      <c r="Y244" s="314" t="str">
        <f t="shared" ca="1" si="109"/>
        <v/>
      </c>
      <c r="Z244" s="315" t="str">
        <f t="shared" ca="1" si="110"/>
        <v/>
      </c>
      <c r="AA244" s="316" t="str">
        <f t="shared" ca="1" si="111"/>
        <v/>
      </c>
      <c r="AC244" s="310" t="e">
        <f t="shared" ca="1" si="112"/>
        <v>#N/A</v>
      </c>
      <c r="AD244" s="323" t="e">
        <f t="shared" ca="1" si="113"/>
        <v>#N/A</v>
      </c>
      <c r="AE244" s="324">
        <f t="shared" ca="1" si="92"/>
        <v>506.80473101322235</v>
      </c>
      <c r="AG244" s="306">
        <f t="shared" ca="1" si="114"/>
        <v>30.401840207180229</v>
      </c>
      <c r="AH244" s="304">
        <f t="shared" ca="1" si="115"/>
        <v>40.024544482669739</v>
      </c>
    </row>
    <row r="245" spans="1:34" x14ac:dyDescent="0.2">
      <c r="A245" s="347">
        <f t="shared" ca="1" si="93"/>
        <v>0.01</v>
      </c>
      <c r="B245" s="304">
        <f t="shared" ca="1" si="94"/>
        <v>2.4099999999999926</v>
      </c>
      <c r="D245" s="306">
        <f t="shared" ca="1" si="95"/>
        <v>7.7138150837541524</v>
      </c>
      <c r="E245" s="307">
        <f t="shared" ca="1" si="96"/>
        <v>29.084383444082981</v>
      </c>
      <c r="F245" s="304">
        <f t="shared" ca="1" si="97"/>
        <v>30.089936913672673</v>
      </c>
      <c r="G245" s="306">
        <f t="shared" ca="1" si="98"/>
        <v>56.80694923590795</v>
      </c>
      <c r="H245" s="307">
        <f t="shared" ca="1" si="99"/>
        <v>286.33231632191388</v>
      </c>
      <c r="I245" s="304">
        <f t="shared" ca="1" si="100"/>
        <v>291.91304330530278</v>
      </c>
      <c r="J245" s="306">
        <f t="shared" ca="1" si="101"/>
        <v>97.059943314139431</v>
      </c>
      <c r="K245" s="307">
        <f t="shared" ca="1" si="102"/>
        <v>509.66659995726928</v>
      </c>
      <c r="L245" s="304">
        <f t="shared" ca="1" si="87"/>
        <v>518.82624809096455</v>
      </c>
      <c r="M245" s="306">
        <f t="shared" ca="1" si="103"/>
        <v>1.3749443456435266</v>
      </c>
      <c r="N245" s="304">
        <f t="shared" ca="1" si="104"/>
        <v>78.77850807075076</v>
      </c>
      <c r="P245" s="310">
        <f t="shared" ca="1" si="105"/>
        <v>6</v>
      </c>
      <c r="Q245" s="304">
        <f t="shared" ca="1" si="106"/>
        <v>526.87000000000103</v>
      </c>
      <c r="R245" s="306">
        <f t="shared" ca="1" si="107"/>
        <v>0.26441150522015039</v>
      </c>
      <c r="S245" s="307">
        <f t="shared" ca="1" si="108"/>
        <v>5.1849997293489505</v>
      </c>
      <c r="T245" s="304">
        <f t="shared" ca="1" si="88"/>
        <v>50.864847344913208</v>
      </c>
      <c r="U245" s="311">
        <f t="shared" ca="1" si="89"/>
        <v>0</v>
      </c>
      <c r="V245" s="306">
        <f t="shared" ca="1" si="90"/>
        <v>1.1641173345597968</v>
      </c>
      <c r="W245" s="304">
        <f t="shared" ca="1" si="91"/>
        <v>321.84456270306288</v>
      </c>
      <c r="Y245" s="314" t="str">
        <f t="shared" ca="1" si="109"/>
        <v/>
      </c>
      <c r="Z245" s="315" t="str">
        <f t="shared" ca="1" si="110"/>
        <v/>
      </c>
      <c r="AA245" s="316" t="str">
        <f t="shared" ca="1" si="111"/>
        <v/>
      </c>
      <c r="AC245" s="310" t="e">
        <f t="shared" ca="1" si="112"/>
        <v>#N/A</v>
      </c>
      <c r="AD245" s="323" t="e">
        <f t="shared" ca="1" si="113"/>
        <v>#N/A</v>
      </c>
      <c r="AE245" s="324">
        <f t="shared" ca="1" si="92"/>
        <v>509.66659995726928</v>
      </c>
      <c r="AG245" s="306">
        <f t="shared" ca="1" si="114"/>
        <v>30.029356280368496</v>
      </c>
      <c r="AH245" s="304">
        <f t="shared" ca="1" si="115"/>
        <v>39.651935723766492</v>
      </c>
    </row>
    <row r="246" spans="1:34" x14ac:dyDescent="0.2">
      <c r="A246" s="347">
        <f t="shared" ca="1" si="93"/>
        <v>0.01</v>
      </c>
      <c r="B246" s="304">
        <f t="shared" ca="1" si="94"/>
        <v>2.4199999999999924</v>
      </c>
      <c r="D246" s="306">
        <f t="shared" ca="1" si="95"/>
        <v>7.6440616903696323</v>
      </c>
      <c r="E246" s="307">
        <f t="shared" ca="1" si="96"/>
        <v>28.719474287058297</v>
      </c>
      <c r="F246" s="304">
        <f t="shared" ca="1" si="97"/>
        <v>29.719351985721008</v>
      </c>
      <c r="G246" s="306">
        <f t="shared" ca="1" si="98"/>
        <v>56.883389852811646</v>
      </c>
      <c r="H246" s="307">
        <f t="shared" ca="1" si="99"/>
        <v>286.61951106478449</v>
      </c>
      <c r="I246" s="304">
        <f t="shared" ca="1" si="100"/>
        <v>292.20962366794674</v>
      </c>
      <c r="J246" s="306">
        <f t="shared" ca="1" si="101"/>
        <v>97.628395009583031</v>
      </c>
      <c r="K246" s="307">
        <f t="shared" ca="1" si="102"/>
        <v>512.5313590942028</v>
      </c>
      <c r="L246" s="304">
        <f t="shared" ca="1" si="87"/>
        <v>521.74677532985083</v>
      </c>
      <c r="M246" s="306">
        <f t="shared" ca="1" si="103"/>
        <v>1.37487901416925</v>
      </c>
      <c r="N246" s="304">
        <f t="shared" ca="1" si="104"/>
        <v>78.774764853005337</v>
      </c>
      <c r="P246" s="310">
        <f t="shared" ca="1" si="105"/>
        <v>6</v>
      </c>
      <c r="Q246" s="304">
        <f t="shared" ca="1" si="106"/>
        <v>525.41000000000111</v>
      </c>
      <c r="R246" s="306">
        <f t="shared" ca="1" si="107"/>
        <v>0.26367879924406257</v>
      </c>
      <c r="S246" s="307">
        <f t="shared" ca="1" si="108"/>
        <v>5.1823629413565095</v>
      </c>
      <c r="T246" s="304">
        <f t="shared" ca="1" si="88"/>
        <v>50.838980454707361</v>
      </c>
      <c r="U246" s="311">
        <f t="shared" ca="1" si="89"/>
        <v>0</v>
      </c>
      <c r="V246" s="306">
        <f t="shared" ca="1" si="90"/>
        <v>1.1637836728778927</v>
      </c>
      <c r="W246" s="304">
        <f t="shared" ca="1" si="91"/>
        <v>322.40644053506247</v>
      </c>
      <c r="Y246" s="314" t="str">
        <f t="shared" ca="1" si="109"/>
        <v/>
      </c>
      <c r="Z246" s="315" t="str">
        <f t="shared" ca="1" si="110"/>
        <v/>
      </c>
      <c r="AA246" s="316" t="str">
        <f t="shared" ca="1" si="111"/>
        <v/>
      </c>
      <c r="AC246" s="310" t="e">
        <f t="shared" ca="1" si="112"/>
        <v>#N/A</v>
      </c>
      <c r="AD246" s="323" t="e">
        <f t="shared" ca="1" si="113"/>
        <v>#N/A</v>
      </c>
      <c r="AE246" s="324">
        <f t="shared" ca="1" si="92"/>
        <v>512.5313590942028</v>
      </c>
      <c r="AG246" s="306">
        <f t="shared" ca="1" si="114"/>
        <v>29.657973903918244</v>
      </c>
      <c r="AH246" s="304">
        <f t="shared" ca="1" si="115"/>
        <v>39.280428561349268</v>
      </c>
    </row>
    <row r="247" spans="1:34" x14ac:dyDescent="0.2">
      <c r="A247" s="347">
        <f t="shared" ca="1" si="93"/>
        <v>0.01</v>
      </c>
      <c r="B247" s="304">
        <f t="shared" ca="1" si="94"/>
        <v>2.4299999999999922</v>
      </c>
      <c r="D247" s="306">
        <f t="shared" ca="1" si="95"/>
        <v>7.5744737500490391</v>
      </c>
      <c r="E247" s="307">
        <f t="shared" ca="1" si="96"/>
        <v>28.355657293449653</v>
      </c>
      <c r="F247" s="304">
        <f t="shared" ca="1" si="97"/>
        <v>29.3498884688468</v>
      </c>
      <c r="G247" s="306">
        <f t="shared" ca="1" si="98"/>
        <v>56.959134590312139</v>
      </c>
      <c r="H247" s="307">
        <f t="shared" ca="1" si="99"/>
        <v>286.903067637719</v>
      </c>
      <c r="I247" s="304">
        <f t="shared" ca="1" si="100"/>
        <v>292.5025012426575</v>
      </c>
      <c r="J247" s="306">
        <f t="shared" ca="1" si="101"/>
        <v>98.197607631798647</v>
      </c>
      <c r="K247" s="307">
        <f t="shared" ca="1" si="102"/>
        <v>515.3989719877153</v>
      </c>
      <c r="L247" s="304">
        <f t="shared" ca="1" si="87"/>
        <v>524.6702492714852</v>
      </c>
      <c r="M247" s="306">
        <f t="shared" ca="1" si="103"/>
        <v>1.3748137266182661</v>
      </c>
      <c r="N247" s="304">
        <f t="shared" ca="1" si="104"/>
        <v>78.771024151879203</v>
      </c>
      <c r="P247" s="310">
        <f t="shared" ca="1" si="105"/>
        <v>6</v>
      </c>
      <c r="Q247" s="304">
        <f t="shared" ca="1" si="106"/>
        <v>523.95000000000118</v>
      </c>
      <c r="R247" s="306">
        <f t="shared" ca="1" si="107"/>
        <v>0.26294609326797475</v>
      </c>
      <c r="S247" s="307">
        <f t="shared" ca="1" si="108"/>
        <v>5.1797334804238302</v>
      </c>
      <c r="T247" s="304">
        <f t="shared" ca="1" si="88"/>
        <v>50.813185442957774</v>
      </c>
      <c r="U247" s="311">
        <f t="shared" ca="1" si="89"/>
        <v>0</v>
      </c>
      <c r="V247" s="306">
        <f t="shared" ca="1" si="90"/>
        <v>1.1634497721397443</v>
      </c>
      <c r="W247" s="304">
        <f t="shared" ca="1" si="91"/>
        <v>322.96036422178179</v>
      </c>
      <c r="Y247" s="314" t="str">
        <f t="shared" ca="1" si="109"/>
        <v/>
      </c>
      <c r="Z247" s="315" t="str">
        <f t="shared" ca="1" si="110"/>
        <v/>
      </c>
      <c r="AA247" s="316" t="str">
        <f t="shared" ca="1" si="111"/>
        <v/>
      </c>
      <c r="AC247" s="310" t="e">
        <f t="shared" ca="1" si="112"/>
        <v>#N/A</v>
      </c>
      <c r="AD247" s="323" t="e">
        <f t="shared" ca="1" si="113"/>
        <v>#N/A</v>
      </c>
      <c r="AE247" s="324">
        <f t="shared" ca="1" si="92"/>
        <v>515.3989719877153</v>
      </c>
      <c r="AG247" s="306">
        <f t="shared" ca="1" si="114"/>
        <v>29.287695131999254</v>
      </c>
      <c r="AH247" s="304">
        <f t="shared" ca="1" si="115"/>
        <v>38.910025047938852</v>
      </c>
    </row>
    <row r="248" spans="1:34" x14ac:dyDescent="0.2">
      <c r="A248" s="347">
        <f t="shared" ca="1" si="93"/>
        <v>0.01</v>
      </c>
      <c r="B248" s="304">
        <f t="shared" ca="1" si="94"/>
        <v>2.439999999999992</v>
      </c>
      <c r="D248" s="306">
        <f t="shared" ca="1" si="95"/>
        <v>7.505051939798701</v>
      </c>
      <c r="E248" s="307">
        <f t="shared" ca="1" si="96"/>
        <v>27.992934328199773</v>
      </c>
      <c r="F248" s="304">
        <f t="shared" ca="1" si="97"/>
        <v>28.981548904811515</v>
      </c>
      <c r="G248" s="306">
        <f t="shared" ca="1" si="98"/>
        <v>57.03418510971013</v>
      </c>
      <c r="H248" s="307">
        <f t="shared" ca="1" si="99"/>
        <v>287.182996981001</v>
      </c>
      <c r="I248" s="304">
        <f t="shared" ca="1" si="100"/>
        <v>292.7916870850645</v>
      </c>
      <c r="J248" s="306">
        <f t="shared" ca="1" si="101"/>
        <v>98.767574230298763</v>
      </c>
      <c r="K248" s="307">
        <f t="shared" ca="1" si="102"/>
        <v>518.26940231080891</v>
      </c>
      <c r="L248" s="304">
        <f t="shared" ca="1" si="87"/>
        <v>527.59663294124687</v>
      </c>
      <c r="M248" s="306">
        <f t="shared" ca="1" si="103"/>
        <v>1.3747484820947762</v>
      </c>
      <c r="N248" s="304">
        <f t="shared" ca="1" si="104"/>
        <v>78.767285916046902</v>
      </c>
      <c r="P248" s="310">
        <f t="shared" ca="1" si="105"/>
        <v>6</v>
      </c>
      <c r="Q248" s="304">
        <f t="shared" ca="1" si="106"/>
        <v>522.49000000000115</v>
      </c>
      <c r="R248" s="306">
        <f t="shared" ca="1" si="107"/>
        <v>0.26221338729188687</v>
      </c>
      <c r="S248" s="307">
        <f t="shared" ca="1" si="108"/>
        <v>5.1771113465509115</v>
      </c>
      <c r="T248" s="304">
        <f t="shared" ca="1" si="88"/>
        <v>50.787462309664441</v>
      </c>
      <c r="U248" s="311">
        <f t="shared" ca="1" si="89"/>
        <v>0</v>
      </c>
      <c r="V248" s="306">
        <f t="shared" ca="1" si="90"/>
        <v>1.1631156368129918</v>
      </c>
      <c r="W248" s="304">
        <f t="shared" ca="1" si="91"/>
        <v>323.50634095189622</v>
      </c>
      <c r="Y248" s="314" t="str">
        <f t="shared" ca="1" si="109"/>
        <v/>
      </c>
      <c r="Z248" s="315" t="str">
        <f t="shared" ca="1" si="110"/>
        <v/>
      </c>
      <c r="AA248" s="316" t="str">
        <f t="shared" ca="1" si="111"/>
        <v/>
      </c>
      <c r="AC248" s="310" t="e">
        <f t="shared" ca="1" si="112"/>
        <v>#N/A</v>
      </c>
      <c r="AD248" s="323" t="e">
        <f t="shared" ca="1" si="113"/>
        <v>#N/A</v>
      </c>
      <c r="AE248" s="324">
        <f t="shared" ca="1" si="92"/>
        <v>518.26940231080891</v>
      </c>
      <c r="AG248" s="306">
        <f t="shared" ca="1" si="114"/>
        <v>28.918521922213266</v>
      </c>
      <c r="AH248" s="304">
        <f t="shared" ca="1" si="115"/>
        <v>38.540727139498308</v>
      </c>
    </row>
    <row r="249" spans="1:34" x14ac:dyDescent="0.2">
      <c r="A249" s="347">
        <f t="shared" ca="1" si="93"/>
        <v>0.01</v>
      </c>
      <c r="B249" s="304">
        <f t="shared" ca="1" si="94"/>
        <v>2.4499999999999917</v>
      </c>
      <c r="D249" s="306">
        <f t="shared" ca="1" si="95"/>
        <v>7.4357969166400109</v>
      </c>
      <c r="E249" s="307">
        <f t="shared" ca="1" si="96"/>
        <v>27.631307162626662</v>
      </c>
      <c r="F249" s="304">
        <f t="shared" ca="1" si="97"/>
        <v>28.614335765502869</v>
      </c>
      <c r="G249" s="306">
        <f t="shared" ca="1" si="98"/>
        <v>57.108543078876529</v>
      </c>
      <c r="H249" s="307">
        <f t="shared" ca="1" si="99"/>
        <v>287.45931005262725</v>
      </c>
      <c r="I249" s="304">
        <f t="shared" ca="1" si="100"/>
        <v>293.07719226941623</v>
      </c>
      <c r="J249" s="306">
        <f t="shared" ca="1" si="101"/>
        <v>99.33828787124169</v>
      </c>
      <c r="K249" s="307">
        <f t="shared" ca="1" si="102"/>
        <v>521.14261384597705</v>
      </c>
      <c r="L249" s="304">
        <f t="shared" ca="1" si="87"/>
        <v>530.52588947515733</v>
      </c>
      <c r="M249" s="306">
        <f t="shared" ca="1" si="103"/>
        <v>1.3746832797094286</v>
      </c>
      <c r="N249" s="304">
        <f t="shared" ca="1" si="104"/>
        <v>78.763550094552301</v>
      </c>
      <c r="P249" s="310">
        <f t="shared" ca="1" si="105"/>
        <v>6</v>
      </c>
      <c r="Q249" s="304">
        <f t="shared" ca="1" si="106"/>
        <v>521.03000000000122</v>
      </c>
      <c r="R249" s="306">
        <f t="shared" ca="1" si="107"/>
        <v>0.26148068131579899</v>
      </c>
      <c r="S249" s="307">
        <f t="shared" ca="1" si="108"/>
        <v>5.1744965397377536</v>
      </c>
      <c r="T249" s="304">
        <f t="shared" ca="1" si="88"/>
        <v>50.761811054827362</v>
      </c>
      <c r="U249" s="311">
        <f t="shared" ca="1" si="89"/>
        <v>0</v>
      </c>
      <c r="V249" s="306">
        <f t="shared" ca="1" si="90"/>
        <v>1.1627812713478654</v>
      </c>
      <c r="W249" s="304">
        <f t="shared" ca="1" si="91"/>
        <v>324.04437837511102</v>
      </c>
      <c r="Y249" s="314" t="str">
        <f t="shared" ca="1" si="109"/>
        <v/>
      </c>
      <c r="Z249" s="315" t="str">
        <f t="shared" ca="1" si="110"/>
        <v/>
      </c>
      <c r="AA249" s="316" t="str">
        <f t="shared" ca="1" si="111"/>
        <v/>
      </c>
      <c r="AC249" s="310" t="e">
        <f t="shared" ca="1" si="112"/>
        <v>#N/A</v>
      </c>
      <c r="AD249" s="323" t="e">
        <f t="shared" ca="1" si="113"/>
        <v>#N/A</v>
      </c>
      <c r="AE249" s="324">
        <f t="shared" ca="1" si="92"/>
        <v>521.14261384597705</v>
      </c>
      <c r="AG249" s="306">
        <f t="shared" ca="1" si="114"/>
        <v>28.550456136478196</v>
      </c>
      <c r="AH249" s="304">
        <f t="shared" ca="1" si="115"/>
        <v>38.172536696317053</v>
      </c>
    </row>
    <row r="250" spans="1:34" x14ac:dyDescent="0.2">
      <c r="A250" s="347">
        <f t="shared" ca="1" si="93"/>
        <v>0.01</v>
      </c>
      <c r="B250" s="304">
        <f t="shared" ca="1" si="94"/>
        <v>2.4599999999999915</v>
      </c>
      <c r="D250" s="306">
        <f t="shared" ca="1" si="95"/>
        <v>7.3667093177757215</v>
      </c>
      <c r="E250" s="307">
        <f t="shared" ca="1" si="96"/>
        <v>27.270777475294125</v>
      </c>
      <c r="F250" s="304">
        <f t="shared" ca="1" si="97"/>
        <v>28.248251455260252</v>
      </c>
      <c r="G250" s="306">
        <f t="shared" ca="1" si="98"/>
        <v>57.182210172054283</v>
      </c>
      <c r="H250" s="307">
        <f t="shared" ca="1" si="99"/>
        <v>287.73201782738016</v>
      </c>
      <c r="I250" s="304">
        <f t="shared" ca="1" si="100"/>
        <v>293.35902788763264</v>
      </c>
      <c r="J250" s="306">
        <f t="shared" ca="1" si="101"/>
        <v>99.909741637496339</v>
      </c>
      <c r="K250" s="307">
        <f t="shared" ca="1" si="102"/>
        <v>524.01857048537704</v>
      </c>
      <c r="L250" s="304">
        <f t="shared" ca="1" si="87"/>
        <v>533.45798212006287</v>
      </c>
      <c r="M250" s="306">
        <f t="shared" ca="1" si="103"/>
        <v>1.3746181185792259</v>
      </c>
      <c r="N250" s="304">
        <f t="shared" ca="1" si="104"/>
        <v>78.759816636803379</v>
      </c>
      <c r="P250" s="310">
        <f t="shared" ca="1" si="105"/>
        <v>6</v>
      </c>
      <c r="Q250" s="304">
        <f t="shared" ca="1" si="106"/>
        <v>519.57000000000119</v>
      </c>
      <c r="R250" s="306">
        <f t="shared" ca="1" si="107"/>
        <v>0.26074797533971111</v>
      </c>
      <c r="S250" s="307">
        <f t="shared" ca="1" si="108"/>
        <v>5.1718890599843563</v>
      </c>
      <c r="T250" s="304">
        <f t="shared" ca="1" si="88"/>
        <v>50.736231678446536</v>
      </c>
      <c r="U250" s="311">
        <f t="shared" ca="1" si="89"/>
        <v>0</v>
      </c>
      <c r="V250" s="306">
        <f t="shared" ca="1" si="90"/>
        <v>1.1624466801771751</v>
      </c>
      <c r="W250" s="304">
        <f t="shared" ca="1" si="91"/>
        <v>324.57448459620792</v>
      </c>
      <c r="Y250" s="314" t="str">
        <f t="shared" ca="1" si="109"/>
        <v/>
      </c>
      <c r="Z250" s="315" t="str">
        <f t="shared" ca="1" si="110"/>
        <v/>
      </c>
      <c r="AA250" s="316" t="str">
        <f t="shared" ca="1" si="111"/>
        <v/>
      </c>
      <c r="AC250" s="310" t="e">
        <f t="shared" ca="1" si="112"/>
        <v>#N/A</v>
      </c>
      <c r="AD250" s="323" t="e">
        <f t="shared" ca="1" si="113"/>
        <v>#N/A</v>
      </c>
      <c r="AE250" s="324">
        <f t="shared" ca="1" si="92"/>
        <v>524.01857048537704</v>
      </c>
      <c r="AG250" s="306">
        <f t="shared" ca="1" si="114"/>
        <v>28.183499541913996</v>
      </c>
      <c r="AH250" s="304">
        <f t="shared" ca="1" si="115"/>
        <v>37.805455483896552</v>
      </c>
    </row>
    <row r="251" spans="1:34" x14ac:dyDescent="0.2">
      <c r="A251" s="347">
        <f t="shared" ca="1" si="93"/>
        <v>0.01</v>
      </c>
      <c r="B251" s="304">
        <f t="shared" ca="1" si="94"/>
        <v>2.4699999999999913</v>
      </c>
      <c r="D251" s="306">
        <f t="shared" ca="1" si="95"/>
        <v>7.2977897607566335</v>
      </c>
      <c r="E251" s="307">
        <f t="shared" ca="1" si="96"/>
        <v>26.911346852883689</v>
      </c>
      <c r="F251" s="304">
        <f t="shared" ca="1" si="97"/>
        <v>27.883298313298898</v>
      </c>
      <c r="G251" s="306">
        <f t="shared" ca="1" si="98"/>
        <v>57.255188069661848</v>
      </c>
      <c r="H251" s="307">
        <f t="shared" ca="1" si="99"/>
        <v>288.00113129590898</v>
      </c>
      <c r="I251" s="304">
        <f t="shared" ca="1" si="100"/>
        <v>293.63720504836533</v>
      </c>
      <c r="J251" s="306">
        <f t="shared" ca="1" si="101"/>
        <v>100.48192862870492</v>
      </c>
      <c r="K251" s="307">
        <f t="shared" ca="1" si="102"/>
        <v>526.89723623099349</v>
      </c>
      <c r="L251" s="304">
        <f t="shared" ca="1" si="87"/>
        <v>536.39287423380586</v>
      </c>
      <c r="M251" s="306">
        <f t="shared" ca="1" si="103"/>
        <v>1.3745529978274336</v>
      </c>
      <c r="N251" s="304">
        <f t="shared" ca="1" si="104"/>
        <v>78.756085492566953</v>
      </c>
      <c r="P251" s="310">
        <f t="shared" ca="1" si="105"/>
        <v>6</v>
      </c>
      <c r="Q251" s="304">
        <f t="shared" ca="1" si="106"/>
        <v>518.11000000000126</v>
      </c>
      <c r="R251" s="306">
        <f t="shared" ca="1" si="107"/>
        <v>0.26001526936362329</v>
      </c>
      <c r="S251" s="307">
        <f t="shared" ca="1" si="108"/>
        <v>5.1692889072907198</v>
      </c>
      <c r="T251" s="304">
        <f t="shared" ca="1" si="88"/>
        <v>50.710724180521964</v>
      </c>
      <c r="U251" s="311">
        <f t="shared" ca="1" si="89"/>
        <v>0</v>
      </c>
      <c r="V251" s="306">
        <f t="shared" ca="1" si="90"/>
        <v>1.1621118677163038</v>
      </c>
      <c r="W251" s="304">
        <f t="shared" ca="1" si="91"/>
        <v>325.09666816910806</v>
      </c>
      <c r="Y251" s="314" t="str">
        <f t="shared" ca="1" si="109"/>
        <v/>
      </c>
      <c r="Z251" s="315" t="str">
        <f t="shared" ca="1" si="110"/>
        <v/>
      </c>
      <c r="AA251" s="316" t="str">
        <f t="shared" ca="1" si="111"/>
        <v/>
      </c>
      <c r="AC251" s="310" t="e">
        <f t="shared" ca="1" si="112"/>
        <v>#N/A</v>
      </c>
      <c r="AD251" s="323" t="e">
        <f t="shared" ca="1" si="113"/>
        <v>#N/A</v>
      </c>
      <c r="AE251" s="324">
        <f t="shared" ca="1" si="92"/>
        <v>526.89723623099349</v>
      </c>
      <c r="AG251" s="306">
        <f t="shared" ca="1" si="114"/>
        <v>27.817653811729933</v>
      </c>
      <c r="AH251" s="304">
        <f t="shared" ca="1" si="115"/>
        <v>37.439485173837461</v>
      </c>
    </row>
    <row r="252" spans="1:34" x14ac:dyDescent="0.2">
      <c r="A252" s="347">
        <f t="shared" ca="1" si="93"/>
        <v>0.01</v>
      </c>
      <c r="B252" s="304">
        <f t="shared" ca="1" si="94"/>
        <v>2.4799999999999911</v>
      </c>
      <c r="D252" s="306">
        <f t="shared" ca="1" si="95"/>
        <v>7.2290388436485333</v>
      </c>
      <c r="E252" s="307">
        <f t="shared" ca="1" si="96"/>
        <v>26.553016791067591</v>
      </c>
      <c r="F252" s="304">
        <f t="shared" ca="1" si="97"/>
        <v>27.519478616240111</v>
      </c>
      <c r="G252" s="306">
        <f t="shared" ca="1" si="98"/>
        <v>57.327478458098334</v>
      </c>
      <c r="H252" s="307">
        <f t="shared" ca="1" si="99"/>
        <v>288.26666146381967</v>
      </c>
      <c r="I252" s="304">
        <f t="shared" ca="1" si="100"/>
        <v>293.91173487606812</v>
      </c>
      <c r="J252" s="306">
        <f t="shared" ca="1" si="101"/>
        <v>101.05484196134373</v>
      </c>
      <c r="K252" s="307">
        <f t="shared" ca="1" si="102"/>
        <v>529.7785751947921</v>
      </c>
      <c r="L252" s="304">
        <f t="shared" ca="1" si="87"/>
        <v>539.33052928538746</v>
      </c>
      <c r="M252" s="306">
        <f t="shared" ca="1" si="103"/>
        <v>1.3744879165834902</v>
      </c>
      <c r="N252" s="304">
        <f t="shared" ca="1" si="104"/>
        <v>78.752356611963549</v>
      </c>
      <c r="P252" s="310">
        <f t="shared" ca="1" si="105"/>
        <v>6</v>
      </c>
      <c r="Q252" s="304">
        <f t="shared" ca="1" si="106"/>
        <v>516.65000000000123</v>
      </c>
      <c r="R252" s="306">
        <f t="shared" ca="1" si="107"/>
        <v>0.25928256338753541</v>
      </c>
      <c r="S252" s="307">
        <f t="shared" ca="1" si="108"/>
        <v>5.1666960816568448</v>
      </c>
      <c r="T252" s="304">
        <f t="shared" ca="1" si="88"/>
        <v>50.685288561053653</v>
      </c>
      <c r="U252" s="311">
        <f t="shared" ca="1" si="89"/>
        <v>0</v>
      </c>
      <c r="V252" s="306">
        <f t="shared" ca="1" si="90"/>
        <v>1.1617768383632008</v>
      </c>
      <c r="W252" s="304">
        <f t="shared" ca="1" si="91"/>
        <v>325.61093809095797</v>
      </c>
      <c r="Y252" s="314" t="str">
        <f t="shared" ca="1" si="109"/>
        <v/>
      </c>
      <c r="Z252" s="315" t="str">
        <f t="shared" ca="1" si="110"/>
        <v/>
      </c>
      <c r="AA252" s="316" t="str">
        <f t="shared" ca="1" si="111"/>
        <v/>
      </c>
      <c r="AC252" s="310" t="e">
        <f t="shared" ca="1" si="112"/>
        <v>#N/A</v>
      </c>
      <c r="AD252" s="323" t="e">
        <f t="shared" ca="1" si="113"/>
        <v>#N/A</v>
      </c>
      <c r="AE252" s="324">
        <f t="shared" ca="1" si="92"/>
        <v>529.7785751947921</v>
      </c>
      <c r="AG252" s="306">
        <f t="shared" ca="1" si="114"/>
        <v>27.452920526113004</v>
      </c>
      <c r="AH252" s="304">
        <f t="shared" ca="1" si="115"/>
        <v>37.074627344727865</v>
      </c>
    </row>
    <row r="253" spans="1:34" x14ac:dyDescent="0.2">
      <c r="A253" s="347">
        <f t="shared" ca="1" si="93"/>
        <v>0.01</v>
      </c>
      <c r="B253" s="304">
        <f t="shared" ca="1" si="94"/>
        <v>2.4899999999999909</v>
      </c>
      <c r="D253" s="306">
        <f t="shared" ca="1" si="95"/>
        <v>7.1604571451993628</v>
      </c>
      <c r="E253" s="307">
        <f t="shared" ca="1" si="96"/>
        <v>26.195788695382383</v>
      </c>
      <c r="F253" s="304">
        <f t="shared" ca="1" si="97"/>
        <v>27.156794580755662</v>
      </c>
      <c r="G253" s="306">
        <f t="shared" ca="1" si="98"/>
        <v>57.399083029550326</v>
      </c>
      <c r="H253" s="307">
        <f t="shared" ca="1" si="99"/>
        <v>288.52861935077351</v>
      </c>
      <c r="I253" s="304">
        <f t="shared" ca="1" si="100"/>
        <v>294.18262851007495</v>
      </c>
      <c r="J253" s="306">
        <f t="shared" ca="1" si="101"/>
        <v>101.62847476878197</v>
      </c>
      <c r="K253" s="307">
        <f t="shared" ca="1" si="102"/>
        <v>532.66255159886509</v>
      </c>
      <c r="L253" s="304">
        <f t="shared" ca="1" si="87"/>
        <v>542.27091085512097</v>
      </c>
      <c r="M253" s="306">
        <f t="shared" ca="1" si="103"/>
        <v>1.3744228739829185</v>
      </c>
      <c r="N253" s="304">
        <f t="shared" ca="1" si="104"/>
        <v>78.748629945462227</v>
      </c>
      <c r="P253" s="310">
        <f t="shared" ca="1" si="105"/>
        <v>6</v>
      </c>
      <c r="Q253" s="304">
        <f t="shared" ca="1" si="106"/>
        <v>515.19000000000131</v>
      </c>
      <c r="R253" s="306">
        <f t="shared" ca="1" si="107"/>
        <v>0.25854985741144754</v>
      </c>
      <c r="S253" s="307">
        <f t="shared" ca="1" si="108"/>
        <v>5.1641105830827305</v>
      </c>
      <c r="T253" s="304">
        <f t="shared" ca="1" si="88"/>
        <v>50.659924820041589</v>
      </c>
      <c r="U253" s="311">
        <f t="shared" ca="1" si="89"/>
        <v>0</v>
      </c>
      <c r="V253" s="306">
        <f t="shared" ca="1" si="90"/>
        <v>1.1614415964983758</v>
      </c>
      <c r="W253" s="304">
        <f t="shared" ca="1" si="91"/>
        <v>326.11730379623128</v>
      </c>
      <c r="Y253" s="314" t="str">
        <f t="shared" ca="1" si="109"/>
        <v/>
      </c>
      <c r="Z253" s="315" t="str">
        <f t="shared" ca="1" si="110"/>
        <v/>
      </c>
      <c r="AA253" s="316" t="str">
        <f t="shared" ca="1" si="111"/>
        <v/>
      </c>
      <c r="AC253" s="310" t="e">
        <f t="shared" ca="1" si="112"/>
        <v>#N/A</v>
      </c>
      <c r="AD253" s="323" t="e">
        <f t="shared" ca="1" si="113"/>
        <v>#N/A</v>
      </c>
      <c r="AE253" s="324">
        <f t="shared" ca="1" si="92"/>
        <v>532.66255159886509</v>
      </c>
      <c r="AG253" s="306">
        <f t="shared" ca="1" si="114"/>
        <v>27.089301173116922</v>
      </c>
      <c r="AH253" s="304">
        <f t="shared" ca="1" si="115"/>
        <v>36.710883483032148</v>
      </c>
    </row>
    <row r="254" spans="1:34" x14ac:dyDescent="0.2">
      <c r="A254" s="347">
        <f t="shared" ca="1" si="93"/>
        <v>0.01</v>
      </c>
      <c r="B254" s="304">
        <f t="shared" ca="1" si="94"/>
        <v>2.4999999999999907</v>
      </c>
      <c r="D254" s="306">
        <f t="shared" ca="1" si="95"/>
        <v>7.0920452250066992</v>
      </c>
      <c r="E254" s="307">
        <f t="shared" ca="1" si="96"/>
        <v>25.839663882103636</v>
      </c>
      <c r="F254" s="304">
        <f t="shared" ca="1" si="97"/>
        <v>26.79524836633599</v>
      </c>
      <c r="G254" s="306">
        <f t="shared" ca="1" si="98"/>
        <v>57.47000348180039</v>
      </c>
      <c r="H254" s="307">
        <f t="shared" ca="1" si="99"/>
        <v>288.78701598959452</v>
      </c>
      <c r="I254" s="304">
        <f t="shared" ca="1" si="100"/>
        <v>294.44989710368804</v>
      </c>
      <c r="J254" s="306">
        <f t="shared" ca="1" si="101"/>
        <v>102.20282020133872</v>
      </c>
      <c r="K254" s="307">
        <f t="shared" ca="1" si="102"/>
        <v>535.54912977556694</v>
      </c>
      <c r="L254" s="304">
        <f t="shared" ca="1" si="87"/>
        <v>545.21398263477636</v>
      </c>
      <c r="M254" s="306">
        <f t="shared" ca="1" si="103"/>
        <v>1.3743578691672389</v>
      </c>
      <c r="N254" s="304">
        <f t="shared" ca="1" si="104"/>
        <v>78.744905443875766</v>
      </c>
      <c r="P254" s="310">
        <f t="shared" ca="1" si="105"/>
        <v>6</v>
      </c>
      <c r="Q254" s="304">
        <f t="shared" ca="1" si="106"/>
        <v>513.73000000000138</v>
      </c>
      <c r="R254" s="306">
        <f t="shared" ca="1" si="107"/>
        <v>0.25781715143535971</v>
      </c>
      <c r="S254" s="307">
        <f t="shared" ca="1" si="108"/>
        <v>5.1615324115683769</v>
      </c>
      <c r="T254" s="304">
        <f t="shared" ca="1" si="88"/>
        <v>50.634632957485778</v>
      </c>
      <c r="U254" s="311">
        <f t="shared" ca="1" si="89"/>
        <v>0</v>
      </c>
      <c r="V254" s="306">
        <f t="shared" ca="1" si="90"/>
        <v>1.1611061464848944</v>
      </c>
      <c r="W254" s="304">
        <f t="shared" ca="1" si="91"/>
        <v>326.6157751508552</v>
      </c>
      <c r="Y254" s="314" t="str">
        <f t="shared" ca="1" si="109"/>
        <v/>
      </c>
      <c r="Z254" s="315" t="str">
        <f t="shared" ca="1" si="110"/>
        <v/>
      </c>
      <c r="AA254" s="316" t="str">
        <f t="shared" ca="1" si="111"/>
        <v/>
      </c>
      <c r="AC254" s="310" t="e">
        <f t="shared" ca="1" si="112"/>
        <v>#N/A</v>
      </c>
      <c r="AD254" s="323" t="e">
        <f t="shared" ca="1" si="113"/>
        <v>#N/A</v>
      </c>
      <c r="AE254" s="324">
        <f t="shared" ca="1" si="92"/>
        <v>535.54912977556694</v>
      </c>
      <c r="AG254" s="306">
        <f t="shared" ca="1" si="114"/>
        <v>26.726797149552375</v>
      </c>
      <c r="AH254" s="304">
        <f t="shared" ca="1" si="115"/>
        <v>36.348254983981072</v>
      </c>
    </row>
    <row r="255" spans="1:34" x14ac:dyDescent="0.2">
      <c r="A255" s="347">
        <f t="shared" ca="1" si="93"/>
        <v>0.01</v>
      </c>
      <c r="B255" s="304">
        <f t="shared" ca="1" si="94"/>
        <v>2.5099999999999905</v>
      </c>
      <c r="D255" s="306">
        <f t="shared" ca="1" si="95"/>
        <v>7.0127818518078877</v>
      </c>
      <c r="E255" s="307">
        <f t="shared" ca="1" si="96"/>
        <v>25.42925912778</v>
      </c>
      <c r="F255" s="304">
        <f t="shared" ca="1" si="97"/>
        <v>26.378520221741564</v>
      </c>
      <c r="G255" s="306">
        <f t="shared" ca="1" si="98"/>
        <v>57.540131300318471</v>
      </c>
      <c r="H255" s="307">
        <f t="shared" ca="1" si="99"/>
        <v>289.04130858087234</v>
      </c>
      <c r="I255" s="304">
        <f t="shared" ca="1" si="100"/>
        <v>294.71298711831645</v>
      </c>
      <c r="J255" s="306">
        <f t="shared" ca="1" si="101"/>
        <v>102.77787087524932</v>
      </c>
      <c r="K255" s="307">
        <f t="shared" ca="1" si="102"/>
        <v>538.43827139841926</v>
      </c>
      <c r="L255" s="304">
        <f t="shared" ca="1" si="87"/>
        <v>548.15970560427661</v>
      </c>
      <c r="M255" s="306">
        <f t="shared" ca="1" si="103"/>
        <v>1.3742929011593956</v>
      </c>
      <c r="N255" s="304">
        <f t="shared" ca="1" si="104"/>
        <v>78.741183051222976</v>
      </c>
      <c r="P255" s="310">
        <f t="shared" ca="1" si="105"/>
        <v>7</v>
      </c>
      <c r="Q255" s="304">
        <f t="shared" ca="1" si="106"/>
        <v>511.97872340425727</v>
      </c>
      <c r="R255" s="306">
        <f t="shared" ca="1" si="107"/>
        <v>0.25693826730694563</v>
      </c>
      <c r="S255" s="307">
        <f t="shared" ca="1" si="108"/>
        <v>5.1589630288953074</v>
      </c>
      <c r="T255" s="304">
        <f t="shared" ca="1" si="88"/>
        <v>50.609427313462966</v>
      </c>
      <c r="U255" s="311">
        <f t="shared" ca="1" si="89"/>
        <v>0</v>
      </c>
      <c r="V255" s="306">
        <f t="shared" ca="1" si="90"/>
        <v>1.160770492990054</v>
      </c>
      <c r="W255" s="304">
        <f t="shared" ca="1" si="91"/>
        <v>327.10510899161216</v>
      </c>
      <c r="Y255" s="314" t="str">
        <f t="shared" ca="1" si="109"/>
        <v/>
      </c>
      <c r="Z255" s="315" t="str">
        <f t="shared" ca="1" si="110"/>
        <v/>
      </c>
      <c r="AA255" s="316" t="str">
        <f t="shared" ca="1" si="111"/>
        <v/>
      </c>
      <c r="AC255" s="310" t="e">
        <f t="shared" ca="1" si="112"/>
        <v>#N/A</v>
      </c>
      <c r="AD255" s="323" t="e">
        <f t="shared" ca="1" si="113"/>
        <v>#N/A</v>
      </c>
      <c r="AE255" s="324">
        <f t="shared" ca="1" si="92"/>
        <v>538.43827139841926</v>
      </c>
      <c r="AG255" s="306">
        <f t="shared" ca="1" si="114"/>
        <v>26.308939265991079</v>
      </c>
      <c r="AH255" s="304">
        <f t="shared" ca="1" si="115"/>
        <v>35.93027265657571</v>
      </c>
    </row>
    <row r="256" spans="1:34" x14ac:dyDescent="0.2">
      <c r="A256" s="347">
        <f t="shared" ca="1" si="93"/>
        <v>0.01</v>
      </c>
      <c r="B256" s="304">
        <f t="shared" ca="1" si="94"/>
        <v>2.5199999999999902</v>
      </c>
      <c r="D256" s="306">
        <f t="shared" ca="1" si="95"/>
        <v>6.9226858900198094</v>
      </c>
      <c r="E256" s="307">
        <f t="shared" ca="1" si="96"/>
        <v>24.964724063491865</v>
      </c>
      <c r="F256" s="304">
        <f t="shared" ca="1" si="97"/>
        <v>25.906775706331523</v>
      </c>
      <c r="G256" s="306">
        <f t="shared" ca="1" si="98"/>
        <v>57.609358159218672</v>
      </c>
      <c r="H256" s="307">
        <f t="shared" ca="1" si="99"/>
        <v>289.29095582150728</v>
      </c>
      <c r="I256" s="304">
        <f t="shared" ca="1" si="100"/>
        <v>294.97134651968895</v>
      </c>
      <c r="J256" s="306">
        <f t="shared" ca="1" si="101"/>
        <v>103.35361832254701</v>
      </c>
      <c r="K256" s="307">
        <f t="shared" ca="1" si="102"/>
        <v>541.3299327204312</v>
      </c>
      <c r="L256" s="304">
        <f t="shared" ca="1" si="87"/>
        <v>551.10803521584523</v>
      </c>
      <c r="M256" s="306">
        <f t="shared" ca="1" si="103"/>
        <v>1.3742279688646735</v>
      </c>
      <c r="N256" s="304">
        <f t="shared" ca="1" si="104"/>
        <v>78.737462704781294</v>
      </c>
      <c r="P256" s="310">
        <f t="shared" ca="1" si="105"/>
        <v>7</v>
      </c>
      <c r="Q256" s="304">
        <f t="shared" ca="1" si="106"/>
        <v>509.93617021276793</v>
      </c>
      <c r="R256" s="306">
        <f t="shared" ca="1" si="107"/>
        <v>0.25591320502620485</v>
      </c>
      <c r="S256" s="307">
        <f t="shared" ca="1" si="108"/>
        <v>5.1564038968450454</v>
      </c>
      <c r="T256" s="304">
        <f t="shared" ca="1" si="88"/>
        <v>50.584322228049899</v>
      </c>
      <c r="U256" s="311">
        <f t="shared" ca="1" si="89"/>
        <v>0</v>
      </c>
      <c r="V256" s="306">
        <f t="shared" ca="1" si="90"/>
        <v>1.1604346413056517</v>
      </c>
      <c r="W256" s="304">
        <f t="shared" ca="1" si="91"/>
        <v>327.58406311316855</v>
      </c>
      <c r="Y256" s="314" t="str">
        <f t="shared" ca="1" si="109"/>
        <v/>
      </c>
      <c r="Z256" s="315" t="str">
        <f t="shared" ca="1" si="110"/>
        <v/>
      </c>
      <c r="AA256" s="316" t="str">
        <f t="shared" ca="1" si="111"/>
        <v/>
      </c>
      <c r="AC256" s="310" t="e">
        <f t="shared" ca="1" si="112"/>
        <v>#N/A</v>
      </c>
      <c r="AD256" s="323" t="e">
        <f t="shared" ca="1" si="113"/>
        <v>#N/A</v>
      </c>
      <c r="AE256" s="324">
        <f t="shared" ca="1" si="92"/>
        <v>541.3299327204312</v>
      </c>
      <c r="AG256" s="306">
        <f t="shared" ca="1" si="114"/>
        <v>25.835877954295494</v>
      </c>
      <c r="AH256" s="304">
        <f t="shared" ca="1" si="115"/>
        <v>35.457086930878567</v>
      </c>
    </row>
    <row r="257" spans="1:34" x14ac:dyDescent="0.2">
      <c r="A257" s="347">
        <f t="shared" ca="1" si="93"/>
        <v>0.01</v>
      </c>
      <c r="B257" s="304">
        <f t="shared" ca="1" si="94"/>
        <v>2.52999999999999</v>
      </c>
      <c r="D257" s="306">
        <f t="shared" ca="1" si="95"/>
        <v>6.8328163450155799</v>
      </c>
      <c r="E257" s="307">
        <f t="shared" ca="1" si="96"/>
        <v>24.501647179600923</v>
      </c>
      <c r="F257" s="304">
        <f t="shared" ca="1" si="97"/>
        <v>25.43655035020193</v>
      </c>
      <c r="G257" s="306">
        <f t="shared" ca="1" si="98"/>
        <v>57.677686322668826</v>
      </c>
      <c r="H257" s="307">
        <f t="shared" ca="1" si="99"/>
        <v>289.5359722933033</v>
      </c>
      <c r="I257" s="304">
        <f t="shared" ca="1" si="100"/>
        <v>295.22499005227297</v>
      </c>
      <c r="J257" s="306">
        <f t="shared" ca="1" si="101"/>
        <v>103.93005354495645</v>
      </c>
      <c r="K257" s="307">
        <f t="shared" ca="1" si="102"/>
        <v>544.22406736100527</v>
      </c>
      <c r="L257" s="304">
        <f t="shared" ca="1" si="87"/>
        <v>554.05892423533214</v>
      </c>
      <c r="M257" s="306">
        <f t="shared" ca="1" si="103"/>
        <v>1.3741630711958319</v>
      </c>
      <c r="N257" s="304">
        <f t="shared" ca="1" si="104"/>
        <v>78.733744342256429</v>
      </c>
      <c r="P257" s="310">
        <f t="shared" ca="1" si="105"/>
        <v>7</v>
      </c>
      <c r="Q257" s="304">
        <f t="shared" ca="1" si="106"/>
        <v>507.8936170212786</v>
      </c>
      <c r="R257" s="306">
        <f t="shared" ca="1" si="107"/>
        <v>0.25488814274546401</v>
      </c>
      <c r="S257" s="307">
        <f t="shared" ca="1" si="108"/>
        <v>5.1538550154175908</v>
      </c>
      <c r="T257" s="304">
        <f t="shared" ca="1" si="88"/>
        <v>50.55931770124657</v>
      </c>
      <c r="U257" s="311">
        <f t="shared" ca="1" si="89"/>
        <v>0</v>
      </c>
      <c r="V257" s="306">
        <f t="shared" ca="1" si="90"/>
        <v>1.1600985970235409</v>
      </c>
      <c r="W257" s="304">
        <f t="shared" ca="1" si="91"/>
        <v>328.05265264007403</v>
      </c>
      <c r="Y257" s="314" t="str">
        <f t="shared" ca="1" si="109"/>
        <v/>
      </c>
      <c r="Z257" s="315" t="str">
        <f t="shared" ca="1" si="110"/>
        <v/>
      </c>
      <c r="AA257" s="316" t="str">
        <f t="shared" ca="1" si="111"/>
        <v/>
      </c>
      <c r="AC257" s="310" t="e">
        <f t="shared" ca="1" si="112"/>
        <v>#N/A</v>
      </c>
      <c r="AD257" s="323" t="e">
        <f t="shared" ca="1" si="113"/>
        <v>#N/A</v>
      </c>
      <c r="AE257" s="324">
        <f t="shared" ca="1" si="92"/>
        <v>544.22406736100527</v>
      </c>
      <c r="AG257" s="306">
        <f t="shared" ca="1" si="114"/>
        <v>25.364291088337488</v>
      </c>
      <c r="AH257" s="304">
        <f t="shared" ca="1" si="115"/>
        <v>34.985375678733654</v>
      </c>
    </row>
    <row r="258" spans="1:34" x14ac:dyDescent="0.2">
      <c r="A258" s="347">
        <f t="shared" ca="1" si="93"/>
        <v>0.01</v>
      </c>
      <c r="B258" s="304">
        <f t="shared" ca="1" si="94"/>
        <v>2.5399999999999898</v>
      </c>
      <c r="D258" s="306">
        <f t="shared" ca="1" si="95"/>
        <v>6.7431739902087937</v>
      </c>
      <c r="E258" s="307">
        <f t="shared" ca="1" si="96"/>
        <v>24.040030437692458</v>
      </c>
      <c r="F258" s="304">
        <f t="shared" ca="1" si="97"/>
        <v>24.967848503773972</v>
      </c>
      <c r="G258" s="306">
        <f t="shared" ca="1" si="98"/>
        <v>57.745118062570917</v>
      </c>
      <c r="H258" s="307">
        <f t="shared" ca="1" si="99"/>
        <v>289.77637259768022</v>
      </c>
      <c r="I258" s="304">
        <f t="shared" ca="1" si="100"/>
        <v>295.47393248124251</v>
      </c>
      <c r="J258" s="306">
        <f t="shared" ca="1" si="101"/>
        <v>104.50716756688264</v>
      </c>
      <c r="K258" s="307">
        <f t="shared" ca="1" si="102"/>
        <v>547.12062908546022</v>
      </c>
      <c r="L258" s="304">
        <f t="shared" ca="1" si="87"/>
        <v>557.01232557612423</v>
      </c>
      <c r="M258" s="306">
        <f t="shared" ca="1" si="103"/>
        <v>1.374098207072975</v>
      </c>
      <c r="N258" s="304">
        <f t="shared" ca="1" si="104"/>
        <v>78.730027901774918</v>
      </c>
      <c r="P258" s="310">
        <f t="shared" ca="1" si="105"/>
        <v>7</v>
      </c>
      <c r="Q258" s="304">
        <f t="shared" ca="1" si="106"/>
        <v>505.85106382978927</v>
      </c>
      <c r="R258" s="306">
        <f t="shared" ca="1" si="107"/>
        <v>0.25386308046472317</v>
      </c>
      <c r="S258" s="307">
        <f t="shared" ca="1" si="108"/>
        <v>5.1513163846129437</v>
      </c>
      <c r="T258" s="304">
        <f t="shared" ca="1" si="88"/>
        <v>50.534413733052979</v>
      </c>
      <c r="U258" s="311">
        <f t="shared" ca="1" si="89"/>
        <v>0</v>
      </c>
      <c r="V258" s="306">
        <f t="shared" ca="1" si="90"/>
        <v>1.1597623657125997</v>
      </c>
      <c r="W258" s="304">
        <f t="shared" ca="1" si="91"/>
        <v>328.51089336705002</v>
      </c>
      <c r="Y258" s="314" t="str">
        <f t="shared" ca="1" si="109"/>
        <v/>
      </c>
      <c r="Z258" s="315" t="str">
        <f t="shared" ca="1" si="110"/>
        <v/>
      </c>
      <c r="AA258" s="316" t="str">
        <f t="shared" ca="1" si="111"/>
        <v/>
      </c>
      <c r="AC258" s="310" t="e">
        <f t="shared" ca="1" si="112"/>
        <v>#N/A</v>
      </c>
      <c r="AD258" s="323" t="e">
        <f t="shared" ca="1" si="113"/>
        <v>#N/A</v>
      </c>
      <c r="AE258" s="324">
        <f t="shared" ca="1" si="92"/>
        <v>547.12062908546022</v>
      </c>
      <c r="AG258" s="306">
        <f t="shared" ca="1" si="114"/>
        <v>24.894180738774999</v>
      </c>
      <c r="AH258" s="304">
        <f t="shared" ca="1" si="115"/>
        <v>34.515140968782589</v>
      </c>
    </row>
    <row r="259" spans="1:34" x14ac:dyDescent="0.2">
      <c r="A259" s="347">
        <f t="shared" ca="1" si="93"/>
        <v>0.01</v>
      </c>
      <c r="B259" s="304">
        <f t="shared" ca="1" si="94"/>
        <v>2.5499999999999896</v>
      </c>
      <c r="D259" s="306">
        <f t="shared" ca="1" si="95"/>
        <v>6.6537595688880717</v>
      </c>
      <c r="E259" s="307">
        <f t="shared" ca="1" si="96"/>
        <v>23.579875658757075</v>
      </c>
      <c r="F259" s="304">
        <f t="shared" ca="1" si="97"/>
        <v>24.500674531184117</v>
      </c>
      <c r="G259" s="306">
        <f t="shared" ca="1" si="98"/>
        <v>57.811655658259795</v>
      </c>
      <c r="H259" s="307">
        <f t="shared" ca="1" si="99"/>
        <v>290.01217135426782</v>
      </c>
      <c r="I259" s="304">
        <f t="shared" ca="1" si="100"/>
        <v>295.71818859104081</v>
      </c>
      <c r="J259" s="306">
        <f t="shared" ca="1" si="101"/>
        <v>105.0849514354868</v>
      </c>
      <c r="K259" s="307">
        <f t="shared" ca="1" si="102"/>
        <v>550.01957180521993</v>
      </c>
      <c r="L259" s="304">
        <f t="shared" ca="1" si="87"/>
        <v>559.96819229934488</v>
      </c>
      <c r="M259" s="306">
        <f t="shared" ca="1" si="103"/>
        <v>1.374033375423424</v>
      </c>
      <c r="N259" s="304">
        <f t="shared" ca="1" si="104"/>
        <v>78.726313321876773</v>
      </c>
      <c r="P259" s="310">
        <f t="shared" ca="1" si="105"/>
        <v>7</v>
      </c>
      <c r="Q259" s="304">
        <f t="shared" ca="1" si="106"/>
        <v>503.80851063829999</v>
      </c>
      <c r="R259" s="306">
        <f t="shared" ca="1" si="107"/>
        <v>0.25283801818398238</v>
      </c>
      <c r="S259" s="307">
        <f t="shared" ca="1" si="108"/>
        <v>5.1487880044311041</v>
      </c>
      <c r="T259" s="304">
        <f t="shared" ca="1" si="88"/>
        <v>50.509610323469133</v>
      </c>
      <c r="U259" s="311">
        <f t="shared" ca="1" si="89"/>
        <v>0</v>
      </c>
      <c r="V259" s="306">
        <f t="shared" ca="1" si="90"/>
        <v>1.1594259529187196</v>
      </c>
      <c r="W259" s="304">
        <f t="shared" ca="1" si="91"/>
        <v>328.95880174925327</v>
      </c>
      <c r="Y259" s="314" t="str">
        <f t="shared" ca="1" si="109"/>
        <v/>
      </c>
      <c r="Z259" s="315" t="str">
        <f t="shared" ca="1" si="110"/>
        <v/>
      </c>
      <c r="AA259" s="316" t="str">
        <f t="shared" ca="1" si="111"/>
        <v/>
      </c>
      <c r="AC259" s="310" t="e">
        <f t="shared" ca="1" si="112"/>
        <v>#N/A</v>
      </c>
      <c r="AD259" s="323" t="e">
        <f t="shared" ca="1" si="113"/>
        <v>#N/A</v>
      </c>
      <c r="AE259" s="324">
        <f t="shared" ca="1" si="92"/>
        <v>550.01957180521993</v>
      </c>
      <c r="AG259" s="306">
        <f t="shared" ca="1" si="114"/>
        <v>24.425548832543889</v>
      </c>
      <c r="AH259" s="304">
        <f t="shared" ca="1" si="115"/>
        <v>34.046384725956266</v>
      </c>
    </row>
    <row r="260" spans="1:34" x14ac:dyDescent="0.2">
      <c r="A260" s="347">
        <f t="shared" ca="1" si="93"/>
        <v>0.01</v>
      </c>
      <c r="B260" s="304">
        <f t="shared" ca="1" si="94"/>
        <v>2.5599999999999894</v>
      </c>
      <c r="D260" s="306">
        <f t="shared" ca="1" si="95"/>
        <v>6.5645737945006681</v>
      </c>
      <c r="E260" s="307">
        <f t="shared" ca="1" si="96"/>
        <v>23.121184524663555</v>
      </c>
      <c r="F260" s="304">
        <f t="shared" ca="1" si="97"/>
        <v>24.035032825585787</v>
      </c>
      <c r="G260" s="306">
        <f t="shared" ca="1" si="98"/>
        <v>57.8773013962048</v>
      </c>
      <c r="H260" s="307">
        <f t="shared" ca="1" si="99"/>
        <v>290.24338319951448</v>
      </c>
      <c r="I260" s="304">
        <f t="shared" ca="1" si="100"/>
        <v>295.95777318395835</v>
      </c>
      <c r="J260" s="306">
        <f t="shared" ca="1" si="101"/>
        <v>105.66339622075913</v>
      </c>
      <c r="K260" s="307">
        <f t="shared" ca="1" si="102"/>
        <v>552.92084957798886</v>
      </c>
      <c r="L260" s="304">
        <f t="shared" ref="L260:L323" ca="1" si="116">SQRT(pos_x^2+pos_z^2)</f>
        <v>562.92647761403987</v>
      </c>
      <c r="M260" s="306">
        <f t="shared" ca="1" si="103"/>
        <v>1.3739685751815904</v>
      </c>
      <c r="N260" s="304">
        <f t="shared" ca="1" si="104"/>
        <v>78.722600541508285</v>
      </c>
      <c r="P260" s="310">
        <f t="shared" ca="1" si="105"/>
        <v>7</v>
      </c>
      <c r="Q260" s="304">
        <f t="shared" ca="1" si="106"/>
        <v>501.76595744681066</v>
      </c>
      <c r="R260" s="306">
        <f t="shared" ca="1" si="107"/>
        <v>0.2518129559032416</v>
      </c>
      <c r="S260" s="307">
        <f t="shared" ca="1" si="108"/>
        <v>5.1462698748720719</v>
      </c>
      <c r="T260" s="304">
        <f t="shared" ref="T260:T323" ca="1" si="117">m*g</f>
        <v>50.484907472495024</v>
      </c>
      <c r="U260" s="311">
        <f t="shared" ref="U260:U323" ca="1" si="118">IF(pos_xz&lt;L_rampe,Poids*COS(Beta),0)</f>
        <v>0</v>
      </c>
      <c r="V260" s="306">
        <f t="shared" ref="V260:V323" ca="1" si="119">Rho_moyen*(20000-Alt_rampe-pos_z)/(20000+Alt_rampe+pos_z)</f>
        <v>1.1590893641648075</v>
      </c>
      <c r="W260" s="304">
        <f t="shared" ref="W260:W323" ca="1" si="120">1/2*Rho*Sref*Cx*vit_xz^2</f>
        <v>329.39639489258263</v>
      </c>
      <c r="Y260" s="314" t="str">
        <f t="shared" ca="1" si="109"/>
        <v/>
      </c>
      <c r="Z260" s="315" t="str">
        <f t="shared" ca="1" si="110"/>
        <v/>
      </c>
      <c r="AA260" s="316" t="str">
        <f t="shared" ca="1" si="111"/>
        <v/>
      </c>
      <c r="AC260" s="310" t="e">
        <f t="shared" ca="1" si="112"/>
        <v>#N/A</v>
      </c>
      <c r="AD260" s="323" t="e">
        <f t="shared" ca="1" si="113"/>
        <v>#N/A</v>
      </c>
      <c r="AE260" s="324">
        <f t="shared" ref="AE260:AE323" ca="1" si="121">IF(t&lt;T_para, pos_z, NA())</f>
        <v>552.92084957798886</v>
      </c>
      <c r="AG260" s="306">
        <f t="shared" ca="1" si="114"/>
        <v>23.958397154357275</v>
      </c>
      <c r="AH260" s="304">
        <f t="shared" ca="1" si="115"/>
        <v>33.579108732973921</v>
      </c>
    </row>
    <row r="261" spans="1:34" x14ac:dyDescent="0.2">
      <c r="A261" s="347">
        <f t="shared" ref="A261:A324" ca="1" si="122">IF(B260+0.01&lt;=T_ini+ROUNDUP(Temps_fin_propu,0), 0.01, IF(K260&gt;0, 0.1, 0.0001))</f>
        <v>0.01</v>
      </c>
      <c r="B261" s="304">
        <f t="shared" ref="B261:B324" ca="1" si="123">B260+pas</f>
        <v>2.5699999999999892</v>
      </c>
      <c r="D261" s="306">
        <f t="shared" ref="D261:D324" ca="1" si="124">IF(AND(L260&lt;L_rampe,Poussee&lt;Poids*SIN(M260)),0,(-W260+Poussee)/m*COS(M260)-U260/m*SIN(M260))</f>
        <v>6.4756173509363153</v>
      </c>
      <c r="E261" s="307">
        <f t="shared" ref="E261:E324" ca="1" si="125">IF(AND(L260&lt;L_rampe,Poussee&lt;Poids*SIN(M260)),0,(-W260+Poussee)/m*SIN(M260)+U260/m*COS(M260)-Poids/m)</f>
        <v>22.663958579632045</v>
      </c>
      <c r="F261" s="304">
        <f t="shared" ref="F261:F324" ca="1" si="126">SQRT(acc_x^2+acc_z^2)</f>
        <v>23.570927825926251</v>
      </c>
      <c r="G261" s="306">
        <f t="shared" ref="G261:G324" ca="1" si="127">G260+acc_x*pas</f>
        <v>57.942057569714166</v>
      </c>
      <c r="H261" s="307">
        <f t="shared" ref="H261:H324" ca="1" si="128">H260+acc_z*pas</f>
        <v>290.47002278531079</v>
      </c>
      <c r="I261" s="304">
        <f t="shared" ref="I261:I324" ca="1" si="129">SQRT(vit_x^2+vit_z^2)</f>
        <v>296.19270107872518</v>
      </c>
      <c r="J261" s="306">
        <f t="shared" ref="J261:J324" ca="1" si="130">J260+0.5*(vit_x+G260)*pas*(K260&gt;=0)</f>
        <v>106.24249301558872</v>
      </c>
      <c r="K261" s="307">
        <f t="shared" ref="K261:K324" ca="1" si="131">K260+0.5*(vit_z+H260)*pas</f>
        <v>555.82441660791301</v>
      </c>
      <c r="L261" s="304">
        <f t="shared" ca="1" si="116"/>
        <v>565.88713487734833</v>
      </c>
      <c r="M261" s="306">
        <f t="shared" ref="M261:M324" ca="1" si="132">IF(AND(L260&gt;L_rampe,G261&gt;0),ATAN2(G261,H261),$M$4)</f>
        <v>1.3739038052888513</v>
      </c>
      <c r="N261" s="304">
        <f t="shared" ref="N261:N324" ca="1" si="133">DEGREES(Beta)</f>
        <v>78.718889500014811</v>
      </c>
      <c r="P261" s="310">
        <f t="shared" ref="P261:P324" ca="1" si="134">MATCH(t-pas/2-T_ini,CdP_t)</f>
        <v>7</v>
      </c>
      <c r="Q261" s="304">
        <f t="shared" ref="Q261:Q324" ca="1" si="135">(INDEX(CdP,2,i_P+1)-INDEX(CdP,2,i_P+0))/(INDEX(CdP,1,i_P+1)-INDEX(CdP,1,i_P+0))*(t-pas/2-T_ini-INDEX(CdP,1,i_P+0))+INDEX(CdP,2,i_P+0)</f>
        <v>499.72340425532133</v>
      </c>
      <c r="R261" s="306">
        <f t="shared" ref="R261:R324" ca="1" si="136">Poussee/(g*ISP)</f>
        <v>0.25078789362250076</v>
      </c>
      <c r="S261" s="307">
        <f t="shared" ref="S261:S324" ca="1" si="137">S260-Débit*pas</f>
        <v>5.1437619959358472</v>
      </c>
      <c r="T261" s="304">
        <f t="shared" ca="1" si="117"/>
        <v>50.460305180130661</v>
      </c>
      <c r="U261" s="311">
        <f t="shared" ca="1" si="118"/>
        <v>0</v>
      </c>
      <c r="V261" s="306">
        <f t="shared" ca="1" si="119"/>
        <v>1.1587526049507819</v>
      </c>
      <c r="W261" s="304">
        <f t="shared" ca="1" si="120"/>
        <v>329.82369054402477</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f t="shared" ca="1" si="121"/>
        <v>555.82441660791301</v>
      </c>
      <c r="AG261" s="306">
        <f t="shared" ref="AG261:AG324" ca="1" si="143">IF(AND(L260&lt;L_rampe,Poussee&lt;Poids*SIN(M260)),0,(-W260+Poussee)/m-Poids*SIN(M260)/m)</f>
        <v>23.492727348205243</v>
      </c>
      <c r="AH261" s="304">
        <f t="shared" ref="AH261:AH324" ca="1" si="144">IF(AND(L260&lt;L_rampe,Poussee&lt;Poids*SIN(M260)), g*SIN(M260), (-W260+Poussee)/m)</f>
        <v>33.113314631842663</v>
      </c>
    </row>
    <row r="262" spans="1:34" x14ac:dyDescent="0.2">
      <c r="A262" s="347">
        <f t="shared" ca="1" si="122"/>
        <v>0.01</v>
      </c>
      <c r="B262" s="304">
        <f t="shared" ca="1" si="123"/>
        <v>2.579999999999989</v>
      </c>
      <c r="D262" s="306">
        <f t="shared" ca="1" si="124"/>
        <v>6.3868908928113663</v>
      </c>
      <c r="E262" s="307">
        <f t="shared" ca="1" si="125"/>
        <v>22.208199231708157</v>
      </c>
      <c r="F262" s="304">
        <f t="shared" ca="1" si="126"/>
        <v>23.108364035385968</v>
      </c>
      <c r="G262" s="306">
        <f t="shared" ca="1" si="127"/>
        <v>58.00592647864228</v>
      </c>
      <c r="H262" s="307">
        <f t="shared" ca="1" si="128"/>
        <v>290.69210477762789</v>
      </c>
      <c r="I262" s="304">
        <f t="shared" ca="1" si="129"/>
        <v>296.42298710911922</v>
      </c>
      <c r="J262" s="306">
        <f t="shared" ca="1" si="130"/>
        <v>106.8222329358305</v>
      </c>
      <c r="K262" s="307">
        <f t="shared" ca="1" si="131"/>
        <v>558.73022724572775</v>
      </c>
      <c r="L262" s="304">
        <f t="shared" ca="1" si="116"/>
        <v>568.85011759466079</v>
      </c>
      <c r="M262" s="306">
        <f t="shared" ca="1" si="132"/>
        <v>1.3738390646934273</v>
      </c>
      <c r="N262" s="304">
        <f t="shared" ca="1" si="133"/>
        <v>78.715180137133856</v>
      </c>
      <c r="P262" s="310">
        <f t="shared" ca="1" si="134"/>
        <v>7</v>
      </c>
      <c r="Q262" s="304">
        <f t="shared" ca="1" si="135"/>
        <v>497.68085106383205</v>
      </c>
      <c r="R262" s="306">
        <f t="shared" ca="1" si="136"/>
        <v>0.24976283134175997</v>
      </c>
      <c r="S262" s="307">
        <f t="shared" ca="1" si="137"/>
        <v>5.1412643676224299</v>
      </c>
      <c r="T262" s="304">
        <f t="shared" ca="1" si="117"/>
        <v>50.435803446376042</v>
      </c>
      <c r="U262" s="311">
        <f t="shared" ca="1" si="118"/>
        <v>0</v>
      </c>
      <c r="V262" s="306">
        <f t="shared" ca="1" si="119"/>
        <v>1.1584156807535764</v>
      </c>
      <c r="W262" s="304">
        <f t="shared" ca="1" si="120"/>
        <v>330.24070708204567</v>
      </c>
      <c r="Y262" s="314" t="str">
        <f t="shared" ca="1" si="138"/>
        <v/>
      </c>
      <c r="Z262" s="315" t="str">
        <f t="shared" ca="1" si="139"/>
        <v/>
      </c>
      <c r="AA262" s="316" t="str">
        <f t="shared" ca="1" si="140"/>
        <v/>
      </c>
      <c r="AC262" s="310" t="e">
        <f t="shared" ca="1" si="141"/>
        <v>#N/A</v>
      </c>
      <c r="AD262" s="323" t="e">
        <f t="shared" ca="1" si="142"/>
        <v>#N/A</v>
      </c>
      <c r="AE262" s="324">
        <f t="shared" ca="1" si="121"/>
        <v>558.73022724572775</v>
      </c>
      <c r="AG262" s="306">
        <f t="shared" ca="1" si="143"/>
        <v>23.028540918855477</v>
      </c>
      <c r="AH262" s="304">
        <f t="shared" ca="1" si="144"/>
        <v>32.649003925357874</v>
      </c>
    </row>
    <row r="263" spans="1:34" x14ac:dyDescent="0.2">
      <c r="A263" s="347">
        <f t="shared" ca="1" si="122"/>
        <v>0.01</v>
      </c>
      <c r="B263" s="304">
        <f t="shared" ca="1" si="123"/>
        <v>2.5899999999999888</v>
      </c>
      <c r="D263" s="306">
        <f t="shared" ca="1" si="124"/>
        <v>6.2983950457529234</v>
      </c>
      <c r="E263" s="307">
        <f t="shared" ca="1" si="125"/>
        <v>21.753907754236714</v>
      </c>
      <c r="F263" s="304">
        <f t="shared" ca="1" si="126"/>
        <v>22.647346041693389</v>
      </c>
      <c r="G263" s="306">
        <f t="shared" ca="1" si="127"/>
        <v>58.068910429099809</v>
      </c>
      <c r="H263" s="307">
        <f t="shared" ca="1" si="128"/>
        <v>290.90964385517026</v>
      </c>
      <c r="I263" s="304">
        <f t="shared" ca="1" si="129"/>
        <v>296.64864612258862</v>
      </c>
      <c r="J263" s="306">
        <f t="shared" ca="1" si="130"/>
        <v>107.40260712036921</v>
      </c>
      <c r="K263" s="307">
        <f t="shared" ca="1" si="131"/>
        <v>561.63823598889178</v>
      </c>
      <c r="L263" s="304">
        <f t="shared" ca="1" si="116"/>
        <v>571.81537941976205</v>
      </c>
      <c r="M263" s="306">
        <f t="shared" ca="1" si="132"/>
        <v>1.3737743523502612</v>
      </c>
      <c r="N263" s="304">
        <f t="shared" ca="1" si="133"/>
        <v>78.711472392988028</v>
      </c>
      <c r="P263" s="310">
        <f t="shared" ca="1" si="134"/>
        <v>7</v>
      </c>
      <c r="Q263" s="304">
        <f t="shared" ca="1" si="135"/>
        <v>495.63829787234272</v>
      </c>
      <c r="R263" s="306">
        <f t="shared" ca="1" si="136"/>
        <v>0.24873776906101916</v>
      </c>
      <c r="S263" s="307">
        <f t="shared" ca="1" si="137"/>
        <v>5.1387769899318201</v>
      </c>
      <c r="T263" s="304">
        <f t="shared" ca="1" si="117"/>
        <v>50.411402271231161</v>
      </c>
      <c r="U263" s="311">
        <f t="shared" ca="1" si="118"/>
        <v>0</v>
      </c>
      <c r="V263" s="306">
        <f t="shared" ca="1" si="119"/>
        <v>1.1580785970271397</v>
      </c>
      <c r="W263" s="304">
        <f t="shared" ca="1" si="120"/>
        <v>330.64746350702308</v>
      </c>
      <c r="Y263" s="314" t="str">
        <f t="shared" ca="1" si="138"/>
        <v/>
      </c>
      <c r="Z263" s="315" t="str">
        <f t="shared" ca="1" si="139"/>
        <v/>
      </c>
      <c r="AA263" s="316" t="str">
        <f t="shared" ca="1" si="140"/>
        <v/>
      </c>
      <c r="AC263" s="310" t="e">
        <f t="shared" ca="1" si="141"/>
        <v>#N/A</v>
      </c>
      <c r="AD263" s="323" t="e">
        <f t="shared" ca="1" si="142"/>
        <v>#N/A</v>
      </c>
      <c r="AE263" s="324">
        <f t="shared" ca="1" si="121"/>
        <v>561.63823598889178</v>
      </c>
      <c r="AG263" s="306">
        <f t="shared" ca="1" si="143"/>
        <v>22.565839233353564</v>
      </c>
      <c r="AH263" s="304">
        <f t="shared" ca="1" si="144"/>
        <v>32.186177978603325</v>
      </c>
    </row>
    <row r="264" spans="1:34" x14ac:dyDescent="0.2">
      <c r="A264" s="347">
        <f t="shared" ca="1" si="122"/>
        <v>0.01</v>
      </c>
      <c r="B264" s="304">
        <f t="shared" ca="1" si="123"/>
        <v>2.5999999999999885</v>
      </c>
      <c r="D264" s="306">
        <f t="shared" ca="1" si="124"/>
        <v>6.2101304066833034</v>
      </c>
      <c r="E264" s="307">
        <f t="shared" ca="1" si="125"/>
        <v>21.301085287336065</v>
      </c>
      <c r="F264" s="304">
        <f t="shared" ca="1" si="126"/>
        <v>22.187878539562487</v>
      </c>
      <c r="G264" s="306">
        <f t="shared" ca="1" si="127"/>
        <v>58.131011733166645</v>
      </c>
      <c r="H264" s="307">
        <f t="shared" ca="1" si="128"/>
        <v>291.12265470804363</v>
      </c>
      <c r="I264" s="304">
        <f t="shared" ca="1" si="129"/>
        <v>296.86969297888993</v>
      </c>
      <c r="J264" s="306">
        <f t="shared" ca="1" si="130"/>
        <v>107.98360673118054</v>
      </c>
      <c r="K264" s="307">
        <f t="shared" ca="1" si="131"/>
        <v>564.54839748170787</v>
      </c>
      <c r="L264" s="304">
        <f t="shared" ca="1" si="116"/>
        <v>574.78287415496186</v>
      </c>
      <c r="M264" s="306">
        <f t="shared" ca="1" si="132"/>
        <v>1.3737096672208993</v>
      </c>
      <c r="N264" s="304">
        <f t="shared" ca="1" si="133"/>
        <v>78.70776620807834</v>
      </c>
      <c r="P264" s="310">
        <f t="shared" ca="1" si="134"/>
        <v>7</v>
      </c>
      <c r="Q264" s="304">
        <f t="shared" ca="1" si="135"/>
        <v>493.59574468085339</v>
      </c>
      <c r="R264" s="306">
        <f t="shared" ca="1" si="136"/>
        <v>0.24771270678027832</v>
      </c>
      <c r="S264" s="307">
        <f t="shared" ca="1" si="137"/>
        <v>5.1362998628640177</v>
      </c>
      <c r="T264" s="304">
        <f t="shared" ca="1" si="117"/>
        <v>50.387101654696018</v>
      </c>
      <c r="U264" s="311">
        <f t="shared" ca="1" si="118"/>
        <v>0</v>
      </c>
      <c r="V264" s="306">
        <f t="shared" ca="1" si="119"/>
        <v>1.1577413592024439</v>
      </c>
      <c r="W264" s="304">
        <f t="shared" ca="1" si="120"/>
        <v>331.0439794317283</v>
      </c>
      <c r="Y264" s="314" t="str">
        <f t="shared" ca="1" si="138"/>
        <v/>
      </c>
      <c r="Z264" s="315" t="str">
        <f t="shared" ca="1" si="139"/>
        <v/>
      </c>
      <c r="AA264" s="316" t="str">
        <f t="shared" ca="1" si="140"/>
        <v/>
      </c>
      <c r="AC264" s="310" t="e">
        <f t="shared" ca="1" si="141"/>
        <v>#N/A</v>
      </c>
      <c r="AD264" s="323" t="e">
        <f t="shared" ca="1" si="142"/>
        <v>#N/A</v>
      </c>
      <c r="AE264" s="324">
        <f t="shared" ca="1" si="121"/>
        <v>564.54839748170787</v>
      </c>
      <c r="AG264" s="306">
        <f t="shared" ca="1" si="143"/>
        <v>22.104623522523973</v>
      </c>
      <c r="AH264" s="304">
        <f t="shared" ca="1" si="144"/>
        <v>31.724838020451909</v>
      </c>
    </row>
    <row r="265" spans="1:34" x14ac:dyDescent="0.2">
      <c r="A265" s="347">
        <f t="shared" ca="1" si="122"/>
        <v>0.01</v>
      </c>
      <c r="B265" s="304">
        <f t="shared" ca="1" si="123"/>
        <v>2.6099999999999883</v>
      </c>
      <c r="D265" s="306">
        <f t="shared" ca="1" si="124"/>
        <v>6.1220975441042951</v>
      </c>
      <c r="E265" s="307">
        <f t="shared" ca="1" si="125"/>
        <v>20.849732839371107</v>
      </c>
      <c r="F265" s="304">
        <f t="shared" ca="1" si="126"/>
        <v>21.729966355534881</v>
      </c>
      <c r="G265" s="306">
        <f t="shared" ca="1" si="127"/>
        <v>58.19223270860769</v>
      </c>
      <c r="H265" s="307">
        <f t="shared" ca="1" si="128"/>
        <v>291.33115203643735</v>
      </c>
      <c r="I265" s="304">
        <f t="shared" ca="1" si="129"/>
        <v>297.08614254874044</v>
      </c>
      <c r="J265" s="306">
        <f t="shared" ca="1" si="130"/>
        <v>108.56522295338941</v>
      </c>
      <c r="K265" s="307">
        <f t="shared" ca="1" si="131"/>
        <v>567.46066651543026</v>
      </c>
      <c r="L265" s="304">
        <f t="shared" ca="1" si="116"/>
        <v>577.75255575121048</v>
      </c>
      <c r="M265" s="306">
        <f t="shared" ca="1" si="132"/>
        <v>1.3736450082733724</v>
      </c>
      <c r="N265" s="304">
        <f t="shared" ca="1" si="133"/>
        <v>78.704061523277289</v>
      </c>
      <c r="P265" s="310">
        <f t="shared" ca="1" si="134"/>
        <v>7</v>
      </c>
      <c r="Q265" s="304">
        <f t="shared" ca="1" si="135"/>
        <v>491.55319148936405</v>
      </c>
      <c r="R265" s="306">
        <f t="shared" ca="1" si="136"/>
        <v>0.24668764449953751</v>
      </c>
      <c r="S265" s="307">
        <f t="shared" ca="1" si="137"/>
        <v>5.133832986419022</v>
      </c>
      <c r="T265" s="304">
        <f t="shared" ca="1" si="117"/>
        <v>50.362901596770605</v>
      </c>
      <c r="U265" s="311">
        <f t="shared" ca="1" si="118"/>
        <v>0</v>
      </c>
      <c r="V265" s="306">
        <f t="shared" ca="1" si="119"/>
        <v>1.1574039726874874</v>
      </c>
      <c r="W265" s="304">
        <f t="shared" ca="1" si="120"/>
        <v>331.43027507185025</v>
      </c>
      <c r="Y265" s="314" t="str">
        <f t="shared" ca="1" si="138"/>
        <v/>
      </c>
      <c r="Z265" s="315" t="str">
        <f t="shared" ca="1" si="139"/>
        <v/>
      </c>
      <c r="AA265" s="316" t="str">
        <f t="shared" ca="1" si="140"/>
        <v/>
      </c>
      <c r="AC265" s="310" t="e">
        <f t="shared" ca="1" si="141"/>
        <v>#N/A</v>
      </c>
      <c r="AD265" s="323" t="e">
        <f t="shared" ca="1" si="142"/>
        <v>#N/A</v>
      </c>
      <c r="AE265" s="324">
        <f t="shared" ca="1" si="121"/>
        <v>567.46066651543026</v>
      </c>
      <c r="AG265" s="306">
        <f t="shared" ca="1" si="143"/>
        <v>21.644894882469657</v>
      </c>
      <c r="AH265" s="304">
        <f t="shared" ca="1" si="144"/>
        <v>31.264985145065065</v>
      </c>
    </row>
    <row r="266" spans="1:34" x14ac:dyDescent="0.2">
      <c r="A266" s="347">
        <f t="shared" ca="1" si="122"/>
        <v>0.01</v>
      </c>
      <c r="B266" s="304">
        <f t="shared" ca="1" si="123"/>
        <v>2.6199999999999881</v>
      </c>
      <c r="D266" s="306">
        <f t="shared" ca="1" si="124"/>
        <v>6.0342969983816817</v>
      </c>
      <c r="E266" s="307">
        <f t="shared" ca="1" si="125"/>
        <v>20.399851288426589</v>
      </c>
      <c r="F266" s="304">
        <f t="shared" ca="1" si="126"/>
        <v>21.27361447555629</v>
      </c>
      <c r="G266" s="306">
        <f t="shared" ca="1" si="127"/>
        <v>58.252575678591505</v>
      </c>
      <c r="H266" s="307">
        <f t="shared" ca="1" si="128"/>
        <v>291.5351505493216</v>
      </c>
      <c r="I266" s="304">
        <f t="shared" ca="1" si="129"/>
        <v>297.29800971248636</v>
      </c>
      <c r="J266" s="306">
        <f t="shared" ca="1" si="130"/>
        <v>109.14744699532541</v>
      </c>
      <c r="K266" s="307">
        <f t="shared" ca="1" si="131"/>
        <v>570.37499802835907</v>
      </c>
      <c r="L266" s="304">
        <f t="shared" ca="1" si="116"/>
        <v>580.72437830820229</v>
      </c>
      <c r="M266" s="306">
        <f t="shared" ca="1" si="132"/>
        <v>1.3735803744820814</v>
      </c>
      <c r="N266" s="304">
        <f t="shared" ca="1" si="133"/>
        <v>78.700358279822382</v>
      </c>
      <c r="P266" s="310">
        <f t="shared" ca="1" si="134"/>
        <v>7</v>
      </c>
      <c r="Q266" s="304">
        <f t="shared" ca="1" si="135"/>
        <v>489.51063829787478</v>
      </c>
      <c r="R266" s="306">
        <f t="shared" ca="1" si="136"/>
        <v>0.24566258221879672</v>
      </c>
      <c r="S266" s="307">
        <f t="shared" ca="1" si="137"/>
        <v>5.1313763605968337</v>
      </c>
      <c r="T266" s="304">
        <f t="shared" ca="1" si="117"/>
        <v>50.338802097454938</v>
      </c>
      <c r="U266" s="311">
        <f t="shared" ca="1" si="118"/>
        <v>0</v>
      </c>
      <c r="V266" s="306">
        <f t="shared" ca="1" si="119"/>
        <v>1.1570664428673072</v>
      </c>
      <c r="W266" s="304">
        <f t="shared" ca="1" si="120"/>
        <v>331.80637123657272</v>
      </c>
      <c r="Y266" s="314" t="str">
        <f t="shared" ca="1" si="138"/>
        <v/>
      </c>
      <c r="Z266" s="315" t="str">
        <f t="shared" ca="1" si="139"/>
        <v/>
      </c>
      <c r="AA266" s="316" t="str">
        <f t="shared" ca="1" si="140"/>
        <v/>
      </c>
      <c r="AC266" s="310" t="e">
        <f t="shared" ca="1" si="141"/>
        <v>#N/A</v>
      </c>
      <c r="AD266" s="323" t="e">
        <f t="shared" ca="1" si="142"/>
        <v>#N/A</v>
      </c>
      <c r="AE266" s="324">
        <f t="shared" ca="1" si="121"/>
        <v>570.37499802835907</v>
      </c>
      <c r="AG266" s="306">
        <f t="shared" ca="1" si="143"/>
        <v>21.18665427607197</v>
      </c>
      <c r="AH266" s="304">
        <f t="shared" ca="1" si="144"/>
        <v>30.806620313392507</v>
      </c>
    </row>
    <row r="267" spans="1:34" x14ac:dyDescent="0.2">
      <c r="A267" s="347">
        <f t="shared" ca="1" si="122"/>
        <v>0.01</v>
      </c>
      <c r="B267" s="304">
        <f t="shared" ca="1" si="123"/>
        <v>2.6299999999999879</v>
      </c>
      <c r="D267" s="306">
        <f t="shared" ca="1" si="124"/>
        <v>5.9467292820294047</v>
      </c>
      <c r="E267" s="307">
        <f t="shared" ca="1" si="125"/>
        <v>19.951441383778139</v>
      </c>
      <c r="F267" s="304">
        <f t="shared" ca="1" si="126"/>
        <v>20.818828075664609</v>
      </c>
      <c r="G267" s="306">
        <f t="shared" ca="1" si="127"/>
        <v>58.312042971411799</v>
      </c>
      <c r="H267" s="307">
        <f t="shared" ca="1" si="128"/>
        <v>291.73466496315939</v>
      </c>
      <c r="I267" s="304">
        <f t="shared" ca="1" si="129"/>
        <v>297.50530935878544</v>
      </c>
      <c r="J267" s="306">
        <f t="shared" ca="1" si="130"/>
        <v>109.73027008857542</v>
      </c>
      <c r="K267" s="307">
        <f t="shared" ca="1" si="131"/>
        <v>573.29134710592143</v>
      </c>
      <c r="L267" s="304">
        <f t="shared" ca="1" si="116"/>
        <v>583.69829607446502</v>
      </c>
      <c r="M267" s="306">
        <f t="shared" ca="1" si="132"/>
        <v>1.3735157648276823</v>
      </c>
      <c r="N267" s="304">
        <f t="shared" ca="1" si="133"/>
        <v>78.696656419309519</v>
      </c>
      <c r="P267" s="310">
        <f t="shared" ca="1" si="134"/>
        <v>7</v>
      </c>
      <c r="Q267" s="304">
        <f t="shared" ca="1" si="135"/>
        <v>487.46808510638544</v>
      </c>
      <c r="R267" s="306">
        <f t="shared" ca="1" si="136"/>
        <v>0.24463751993805591</v>
      </c>
      <c r="S267" s="307">
        <f t="shared" ca="1" si="137"/>
        <v>5.1289299853974528</v>
      </c>
      <c r="T267" s="304">
        <f t="shared" ca="1" si="117"/>
        <v>50.314803156749015</v>
      </c>
      <c r="U267" s="311">
        <f t="shared" ca="1" si="118"/>
        <v>0</v>
      </c>
      <c r="V267" s="306">
        <f t="shared" ca="1" si="119"/>
        <v>1.1567287751039852</v>
      </c>
      <c r="W267" s="304">
        <f t="shared" ca="1" si="120"/>
        <v>332.17228931919664</v>
      </c>
      <c r="Y267" s="314" t="str">
        <f t="shared" ca="1" si="138"/>
        <v/>
      </c>
      <c r="Z267" s="315" t="str">
        <f t="shared" ca="1" si="139"/>
        <v/>
      </c>
      <c r="AA267" s="316" t="str">
        <f t="shared" ca="1" si="140"/>
        <v/>
      </c>
      <c r="AC267" s="310" t="e">
        <f t="shared" ca="1" si="141"/>
        <v>#N/A</v>
      </c>
      <c r="AD267" s="323" t="e">
        <f t="shared" ca="1" si="142"/>
        <v>#N/A</v>
      </c>
      <c r="AE267" s="324">
        <f t="shared" ca="1" si="121"/>
        <v>573.29134710592143</v>
      </c>
      <c r="AG267" s="306">
        <f t="shared" ca="1" si="143"/>
        <v>20.729902534488438</v>
      </c>
      <c r="AH267" s="304">
        <f t="shared" ca="1" si="144"/>
        <v>30.349744354669745</v>
      </c>
    </row>
    <row r="268" spans="1:34" x14ac:dyDescent="0.2">
      <c r="A268" s="347">
        <f t="shared" ca="1" si="122"/>
        <v>0.01</v>
      </c>
      <c r="B268" s="304">
        <f t="shared" ca="1" si="123"/>
        <v>2.6399999999999877</v>
      </c>
      <c r="D268" s="306">
        <f t="shared" ca="1" si="124"/>
        <v>5.8593948799938103</v>
      </c>
      <c r="E268" s="307">
        <f t="shared" ca="1" si="125"/>
        <v>19.504503747363053</v>
      </c>
      <c r="F268" s="304">
        <f t="shared" ca="1" si="126"/>
        <v>20.365612556233042</v>
      </c>
      <c r="G268" s="306">
        <f t="shared" ca="1" si="127"/>
        <v>58.370636920211737</v>
      </c>
      <c r="H268" s="307">
        <f t="shared" ca="1" si="128"/>
        <v>291.92971000063301</v>
      </c>
      <c r="I268" s="304">
        <f t="shared" ca="1" si="129"/>
        <v>297.70805638330461</v>
      </c>
      <c r="J268" s="306">
        <f t="shared" ca="1" si="130"/>
        <v>110.31368348803355</v>
      </c>
      <c r="K268" s="307">
        <f t="shared" ca="1" si="131"/>
        <v>576.20966898074039</v>
      </c>
      <c r="L268" s="304">
        <f t="shared" ca="1" si="116"/>
        <v>586.67426344743672</v>
      </c>
      <c r="M268" s="306">
        <f t="shared" ca="1" si="132"/>
        <v>1.3734511782969729</v>
      </c>
      <c r="N268" s="304">
        <f t="shared" ca="1" si="133"/>
        <v>78.69295588368648</v>
      </c>
      <c r="P268" s="310">
        <f t="shared" ca="1" si="134"/>
        <v>7</v>
      </c>
      <c r="Q268" s="304">
        <f t="shared" ca="1" si="135"/>
        <v>485.42553191489611</v>
      </c>
      <c r="R268" s="306">
        <f t="shared" ca="1" si="136"/>
        <v>0.24361245765731507</v>
      </c>
      <c r="S268" s="307">
        <f t="shared" ca="1" si="137"/>
        <v>5.1264938608208794</v>
      </c>
      <c r="T268" s="304">
        <f t="shared" ca="1" si="117"/>
        <v>50.29090477465283</v>
      </c>
      <c r="U268" s="311">
        <f t="shared" ca="1" si="118"/>
        <v>0</v>
      </c>
      <c r="V268" s="306">
        <f t="shared" ca="1" si="119"/>
        <v>1.1563909747366632</v>
      </c>
      <c r="W268" s="304">
        <f t="shared" ca="1" si="120"/>
        <v>332.52805128781529</v>
      </c>
      <c r="Y268" s="314" t="str">
        <f t="shared" ca="1" si="138"/>
        <v/>
      </c>
      <c r="Z268" s="315" t="str">
        <f t="shared" ca="1" si="139"/>
        <v/>
      </c>
      <c r="AA268" s="316" t="str">
        <f t="shared" ca="1" si="140"/>
        <v/>
      </c>
      <c r="AC268" s="310" t="e">
        <f t="shared" ca="1" si="141"/>
        <v>#N/A</v>
      </c>
      <c r="AD268" s="323" t="e">
        <f t="shared" ca="1" si="142"/>
        <v>#N/A</v>
      </c>
      <c r="AE268" s="324">
        <f t="shared" ca="1" si="121"/>
        <v>576.20966898074039</v>
      </c>
      <c r="AG268" s="306">
        <f t="shared" ca="1" si="143"/>
        <v>20.27464035865011</v>
      </c>
      <c r="AH268" s="304">
        <f t="shared" ca="1" si="144"/>
        <v>29.89435796791529</v>
      </c>
    </row>
    <row r="269" spans="1:34" x14ac:dyDescent="0.2">
      <c r="A269" s="347">
        <f t="shared" ca="1" si="122"/>
        <v>0.01</v>
      </c>
      <c r="B269" s="304">
        <f t="shared" ca="1" si="123"/>
        <v>2.6499999999999875</v>
      </c>
      <c r="D269" s="306">
        <f t="shared" ca="1" si="124"/>
        <v>5.7722942499376524</v>
      </c>
      <c r="E269" s="307">
        <f t="shared" ca="1" si="125"/>
        <v>19.059038875248717</v>
      </c>
      <c r="F269" s="304">
        <f t="shared" ca="1" si="126"/>
        <v>19.913973580280384</v>
      </c>
      <c r="G269" s="306">
        <f t="shared" ca="1" si="127"/>
        <v>58.428359862711112</v>
      </c>
      <c r="H269" s="307">
        <f t="shared" ca="1" si="128"/>
        <v>292.12030038938548</v>
      </c>
      <c r="I269" s="304">
        <f t="shared" ca="1" si="129"/>
        <v>297.90626568743272</v>
      </c>
      <c r="J269" s="306">
        <f t="shared" ca="1" si="130"/>
        <v>110.89767847194815</v>
      </c>
      <c r="K269" s="307">
        <f t="shared" ca="1" si="131"/>
        <v>579.12991903269051</v>
      </c>
      <c r="L269" s="304">
        <f t="shared" ca="1" si="116"/>
        <v>589.6522349735294</v>
      </c>
      <c r="M269" s="306">
        <f t="shared" ca="1" si="132"/>
        <v>1.3733866138827824</v>
      </c>
      <c r="N269" s="304">
        <f t="shared" ca="1" si="133"/>
        <v>78.68925661524662</v>
      </c>
      <c r="P269" s="310">
        <f t="shared" ca="1" si="134"/>
        <v>7</v>
      </c>
      <c r="Q269" s="304">
        <f t="shared" ca="1" si="135"/>
        <v>483.38297872340678</v>
      </c>
      <c r="R269" s="306">
        <f t="shared" ca="1" si="136"/>
        <v>0.24258739537657426</v>
      </c>
      <c r="S269" s="307">
        <f t="shared" ca="1" si="137"/>
        <v>5.1240679868671135</v>
      </c>
      <c r="T269" s="304">
        <f t="shared" ca="1" si="117"/>
        <v>50.267106951166383</v>
      </c>
      <c r="U269" s="311">
        <f t="shared" ca="1" si="118"/>
        <v>0</v>
      </c>
      <c r="V269" s="306">
        <f t="shared" ca="1" si="119"/>
        <v>1.156053047081556</v>
      </c>
      <c r="W269" s="304">
        <f t="shared" ca="1" si="120"/>
        <v>332.87367967604047</v>
      </c>
      <c r="Y269" s="314" t="str">
        <f t="shared" ca="1" si="138"/>
        <v/>
      </c>
      <c r="Z269" s="315" t="str">
        <f t="shared" ca="1" si="139"/>
        <v/>
      </c>
      <c r="AA269" s="316" t="str">
        <f t="shared" ca="1" si="140"/>
        <v/>
      </c>
      <c r="AC269" s="310" t="e">
        <f t="shared" ca="1" si="141"/>
        <v>#N/A</v>
      </c>
      <c r="AD269" s="323" t="e">
        <f t="shared" ca="1" si="142"/>
        <v>#N/A</v>
      </c>
      <c r="AE269" s="324">
        <f t="shared" ca="1" si="121"/>
        <v>579.12991903269051</v>
      </c>
      <c r="AG269" s="306">
        <f t="shared" ca="1" si="143"/>
        <v>19.820868320756681</v>
      </c>
      <c r="AH269" s="304">
        <f t="shared" ca="1" si="144"/>
        <v>29.440461723425553</v>
      </c>
    </row>
    <row r="270" spans="1:34" x14ac:dyDescent="0.2">
      <c r="A270" s="347">
        <f t="shared" ca="1" si="122"/>
        <v>0.01</v>
      </c>
      <c r="B270" s="304">
        <f t="shared" ca="1" si="123"/>
        <v>2.6599999999999873</v>
      </c>
      <c r="D270" s="306">
        <f t="shared" ca="1" si="124"/>
        <v>5.6854278225238053</v>
      </c>
      <c r="E270" s="307">
        <f t="shared" ca="1" si="125"/>
        <v>18.615047139099346</v>
      </c>
      <c r="F270" s="304">
        <f t="shared" ca="1" si="126"/>
        <v>19.463917116449569</v>
      </c>
      <c r="G270" s="306">
        <f t="shared" ca="1" si="127"/>
        <v>58.48521414093635</v>
      </c>
      <c r="H270" s="307">
        <f t="shared" ca="1" si="128"/>
        <v>292.30645086077647</v>
      </c>
      <c r="I270" s="304">
        <f t="shared" ca="1" si="129"/>
        <v>298.09995217700839</v>
      </c>
      <c r="J270" s="306">
        <f t="shared" ca="1" si="130"/>
        <v>111.48224634196639</v>
      </c>
      <c r="K270" s="307">
        <f t="shared" ca="1" si="131"/>
        <v>582.0520527889413</v>
      </c>
      <c r="L270" s="304">
        <f t="shared" ca="1" si="116"/>
        <v>592.632165348179</v>
      </c>
      <c r="M270" s="306">
        <f t="shared" ca="1" si="132"/>
        <v>1.3733220705838611</v>
      </c>
      <c r="N270" s="304">
        <f t="shared" ca="1" si="133"/>
        <v>78.685558556622581</v>
      </c>
      <c r="P270" s="310">
        <f t="shared" ca="1" si="134"/>
        <v>7</v>
      </c>
      <c r="Q270" s="304">
        <f t="shared" ca="1" si="135"/>
        <v>481.3404255319175</v>
      </c>
      <c r="R270" s="306">
        <f t="shared" ca="1" si="136"/>
        <v>0.24156233309583347</v>
      </c>
      <c r="S270" s="307">
        <f t="shared" ca="1" si="137"/>
        <v>5.1216523635361551</v>
      </c>
      <c r="T270" s="304">
        <f t="shared" ca="1" si="117"/>
        <v>50.243409686289681</v>
      </c>
      <c r="U270" s="311">
        <f t="shared" ca="1" si="118"/>
        <v>0</v>
      </c>
      <c r="V270" s="306">
        <f t="shared" ca="1" si="119"/>
        <v>1.1557149974319654</v>
      </c>
      <c r="W270" s="304">
        <f t="shared" ca="1" si="120"/>
        <v>333.2091975737809</v>
      </c>
      <c r="Y270" s="314" t="str">
        <f t="shared" ca="1" si="138"/>
        <v/>
      </c>
      <c r="Z270" s="315" t="str">
        <f t="shared" ca="1" si="139"/>
        <v/>
      </c>
      <c r="AA270" s="316" t="str">
        <f t="shared" ca="1" si="140"/>
        <v/>
      </c>
      <c r="AC270" s="310" t="e">
        <f t="shared" ca="1" si="141"/>
        <v>#N/A</v>
      </c>
      <c r="AD270" s="323" t="e">
        <f t="shared" ca="1" si="142"/>
        <v>#N/A</v>
      </c>
      <c r="AE270" s="324">
        <f t="shared" ca="1" si="121"/>
        <v>582.0520527889413</v>
      </c>
      <c r="AG270" s="306">
        <f t="shared" ca="1" si="143"/>
        <v>19.368586865769881</v>
      </c>
      <c r="AH270" s="304">
        <f t="shared" ca="1" si="144"/>
        <v>28.988056064268051</v>
      </c>
    </row>
    <row r="271" spans="1:34" x14ac:dyDescent="0.2">
      <c r="A271" s="347">
        <f t="shared" ca="1" si="122"/>
        <v>0.01</v>
      </c>
      <c r="B271" s="304">
        <f t="shared" ca="1" si="123"/>
        <v>2.6699999999999871</v>
      </c>
      <c r="D271" s="306">
        <f t="shared" ca="1" si="124"/>
        <v>5.598796001698763</v>
      </c>
      <c r="E271" s="307">
        <f t="shared" ca="1" si="125"/>
        <v>18.172528787640516</v>
      </c>
      <c r="F271" s="304">
        <f t="shared" ca="1" si="126"/>
        <v>19.015449487357941</v>
      </c>
      <c r="G271" s="306">
        <f t="shared" ca="1" si="127"/>
        <v>58.541202100953335</v>
      </c>
      <c r="H271" s="307">
        <f t="shared" ca="1" si="128"/>
        <v>292.48817614865288</v>
      </c>
      <c r="I271" s="304">
        <f t="shared" ca="1" si="129"/>
        <v>298.28913076106215</v>
      </c>
      <c r="J271" s="306">
        <f t="shared" ca="1" si="130"/>
        <v>112.06737842317584</v>
      </c>
      <c r="K271" s="307">
        <f t="shared" ca="1" si="131"/>
        <v>584.97602592398846</v>
      </c>
      <c r="L271" s="304">
        <f t="shared" ca="1" si="116"/>
        <v>595.61400941588511</v>
      </c>
      <c r="M271" s="306">
        <f t="shared" ca="1" si="132"/>
        <v>1.3732575474047719</v>
      </c>
      <c r="N271" s="304">
        <f t="shared" ca="1" si="133"/>
        <v>78.681861650780007</v>
      </c>
      <c r="P271" s="310">
        <f t="shared" ca="1" si="134"/>
        <v>7</v>
      </c>
      <c r="Q271" s="304">
        <f t="shared" ca="1" si="135"/>
        <v>479.29787234042817</v>
      </c>
      <c r="R271" s="306">
        <f t="shared" ca="1" si="136"/>
        <v>0.24053727081509266</v>
      </c>
      <c r="S271" s="307">
        <f t="shared" ca="1" si="137"/>
        <v>5.1192469908280041</v>
      </c>
      <c r="T271" s="304">
        <f t="shared" ca="1" si="117"/>
        <v>50.219812980022724</v>
      </c>
      <c r="U271" s="311">
        <f t="shared" ca="1" si="118"/>
        <v>0</v>
      </c>
      <c r="V271" s="306">
        <f t="shared" ca="1" si="119"/>
        <v>1.155376831058299</v>
      </c>
      <c r="W271" s="304">
        <f t="shared" ca="1" si="120"/>
        <v>333.53462861807515</v>
      </c>
      <c r="Y271" s="314" t="str">
        <f t="shared" ca="1" si="138"/>
        <v/>
      </c>
      <c r="Z271" s="315" t="str">
        <f t="shared" ca="1" si="139"/>
        <v/>
      </c>
      <c r="AA271" s="316" t="str">
        <f t="shared" ca="1" si="140"/>
        <v/>
      </c>
      <c r="AC271" s="310" t="e">
        <f t="shared" ca="1" si="141"/>
        <v>#N/A</v>
      </c>
      <c r="AD271" s="323" t="e">
        <f t="shared" ca="1" si="142"/>
        <v>#N/A</v>
      </c>
      <c r="AE271" s="324">
        <f t="shared" ca="1" si="121"/>
        <v>584.97602592398846</v>
      </c>
      <c r="AG271" s="306">
        <f t="shared" ca="1" si="143"/>
        <v>18.917796312904642</v>
      </c>
      <c r="AH271" s="304">
        <f t="shared" ca="1" si="144"/>
        <v>28.537141307772377</v>
      </c>
    </row>
    <row r="272" spans="1:34" x14ac:dyDescent="0.2">
      <c r="A272" s="347">
        <f t="shared" ca="1" si="122"/>
        <v>0.01</v>
      </c>
      <c r="B272" s="304">
        <f t="shared" ca="1" si="123"/>
        <v>2.6799999999999868</v>
      </c>
      <c r="D272" s="306">
        <f t="shared" ca="1" si="124"/>
        <v>5.5123991649757871</v>
      </c>
      <c r="E272" s="307">
        <f t="shared" ca="1" si="125"/>
        <v>17.731483948121209</v>
      </c>
      <c r="F272" s="304">
        <f t="shared" ca="1" si="126"/>
        <v>18.568577424146035</v>
      </c>
      <c r="G272" s="306">
        <f t="shared" ca="1" si="127"/>
        <v>58.596326092603093</v>
      </c>
      <c r="H272" s="307">
        <f t="shared" ca="1" si="128"/>
        <v>292.66549098813408</v>
      </c>
      <c r="I272" s="304">
        <f t="shared" ca="1" si="129"/>
        <v>298.47381635057417</v>
      </c>
      <c r="J272" s="306">
        <f t="shared" ca="1" si="130"/>
        <v>112.65306606414362</v>
      </c>
      <c r="K272" s="307">
        <f t="shared" ca="1" si="131"/>
        <v>587.90179425967244</v>
      </c>
      <c r="L272" s="304">
        <f t="shared" ca="1" si="116"/>
        <v>598.59772217023556</v>
      </c>
      <c r="M272" s="306">
        <f t="shared" ca="1" si="132"/>
        <v>1.3731930433557835</v>
      </c>
      <c r="N272" s="304">
        <f t="shared" ca="1" si="133"/>
        <v>78.678165841011463</v>
      </c>
      <c r="P272" s="310">
        <f t="shared" ca="1" si="134"/>
        <v>7</v>
      </c>
      <c r="Q272" s="304">
        <f t="shared" ca="1" si="135"/>
        <v>477.25531914893884</v>
      </c>
      <c r="R272" s="306">
        <f t="shared" ca="1" si="136"/>
        <v>0.23951220853435182</v>
      </c>
      <c r="S272" s="307">
        <f t="shared" ca="1" si="137"/>
        <v>5.1168518687426605</v>
      </c>
      <c r="T272" s="304">
        <f t="shared" ca="1" si="117"/>
        <v>50.196316832365504</v>
      </c>
      <c r="U272" s="311">
        <f t="shared" ca="1" si="118"/>
        <v>0</v>
      </c>
      <c r="V272" s="306">
        <f t="shared" ca="1" si="119"/>
        <v>1.1550385532080885</v>
      </c>
      <c r="W272" s="304">
        <f t="shared" ca="1" si="120"/>
        <v>333.84999698397871</v>
      </c>
      <c r="Y272" s="314" t="str">
        <f t="shared" ca="1" si="138"/>
        <v/>
      </c>
      <c r="Z272" s="315" t="str">
        <f t="shared" ca="1" si="139"/>
        <v/>
      </c>
      <c r="AA272" s="316" t="str">
        <f t="shared" ca="1" si="140"/>
        <v/>
      </c>
      <c r="AC272" s="310" t="e">
        <f t="shared" ca="1" si="141"/>
        <v>#N/A</v>
      </c>
      <c r="AD272" s="323" t="e">
        <f t="shared" ca="1" si="142"/>
        <v>#N/A</v>
      </c>
      <c r="AE272" s="324">
        <f t="shared" ca="1" si="121"/>
        <v>587.90179425967244</v>
      </c>
      <c r="AG272" s="306">
        <f t="shared" ca="1" si="143"/>
        <v>18.468496857117746</v>
      </c>
      <c r="AH272" s="304">
        <f t="shared" ca="1" si="144"/>
        <v>28.087717647018671</v>
      </c>
    </row>
    <row r="273" spans="1:34" x14ac:dyDescent="0.2">
      <c r="A273" s="347">
        <f t="shared" ca="1" si="122"/>
        <v>0.01</v>
      </c>
      <c r="B273" s="304">
        <f t="shared" ca="1" si="123"/>
        <v>2.6899999999999866</v>
      </c>
      <c r="D273" s="306">
        <f t="shared" ca="1" si="124"/>
        <v>5.4262376637176359</v>
      </c>
      <c r="E273" s="307">
        <f t="shared" ca="1" si="125"/>
        <v>17.291912627773058</v>
      </c>
      <c r="F273" s="304">
        <f t="shared" ca="1" si="126"/>
        <v>18.12330812820014</v>
      </c>
      <c r="G273" s="306">
        <f t="shared" ca="1" si="127"/>
        <v>58.650588469240269</v>
      </c>
      <c r="H273" s="307">
        <f t="shared" ca="1" si="128"/>
        <v>292.83841011441183</v>
      </c>
      <c r="I273" s="304">
        <f t="shared" ca="1" si="129"/>
        <v>298.65402385724627</v>
      </c>
      <c r="J273" s="306">
        <f t="shared" ca="1" si="130"/>
        <v>113.23930063695283</v>
      </c>
      <c r="K273" s="307">
        <f t="shared" ca="1" si="131"/>
        <v>590.82931376518513</v>
      </c>
      <c r="L273" s="304">
        <f t="shared" ca="1" si="116"/>
        <v>601.58325875391995</v>
      </c>
      <c r="M273" s="306">
        <f t="shared" ca="1" si="132"/>
        <v>1.3731285574527654</v>
      </c>
      <c r="N273" s="304">
        <f t="shared" ca="1" si="133"/>
        <v>78.674471070930437</v>
      </c>
      <c r="P273" s="310">
        <f t="shared" ca="1" si="134"/>
        <v>7</v>
      </c>
      <c r="Q273" s="304">
        <f t="shared" ca="1" si="135"/>
        <v>475.21276595744951</v>
      </c>
      <c r="R273" s="306">
        <f t="shared" ca="1" si="136"/>
        <v>0.238487146253611</v>
      </c>
      <c r="S273" s="307">
        <f t="shared" ca="1" si="137"/>
        <v>5.1144669972801244</v>
      </c>
      <c r="T273" s="304">
        <f t="shared" ca="1" si="117"/>
        <v>50.172921243318022</v>
      </c>
      <c r="U273" s="311">
        <f t="shared" ca="1" si="118"/>
        <v>0</v>
      </c>
      <c r="V273" s="306">
        <f t="shared" ca="1" si="119"/>
        <v>1.1547001691060101</v>
      </c>
      <c r="W273" s="304">
        <f t="shared" ca="1" si="120"/>
        <v>334.15532737550728</v>
      </c>
      <c r="Y273" s="314" t="str">
        <f t="shared" ca="1" si="138"/>
        <v/>
      </c>
      <c r="Z273" s="315" t="str">
        <f t="shared" ca="1" si="139"/>
        <v/>
      </c>
      <c r="AA273" s="316" t="str">
        <f t="shared" ca="1" si="140"/>
        <v/>
      </c>
      <c r="AC273" s="310" t="e">
        <f t="shared" ca="1" si="141"/>
        <v>#N/A</v>
      </c>
      <c r="AD273" s="323" t="e">
        <f t="shared" ca="1" si="142"/>
        <v>#N/A</v>
      </c>
      <c r="AE273" s="324">
        <f t="shared" ca="1" si="121"/>
        <v>590.82931376518513</v>
      </c>
      <c r="AG273" s="306">
        <f t="shared" ca="1" si="143"/>
        <v>18.02068857059372</v>
      </c>
      <c r="AH273" s="304">
        <f t="shared" ca="1" si="144"/>
        <v>27.639785152323316</v>
      </c>
    </row>
    <row r="274" spans="1:34" x14ac:dyDescent="0.2">
      <c r="A274" s="347">
        <f t="shared" ca="1" si="122"/>
        <v>0.01</v>
      </c>
      <c r="B274" s="304">
        <f t="shared" ca="1" si="123"/>
        <v>2.6999999999999864</v>
      </c>
      <c r="D274" s="306">
        <f t="shared" ca="1" si="124"/>
        <v>5.3403118234188618</v>
      </c>
      <c r="E274" s="307">
        <f t="shared" ca="1" si="125"/>
        <v>16.853814715266623</v>
      </c>
      <c r="F274" s="304">
        <f t="shared" ca="1" si="126"/>
        <v>17.679649341202584</v>
      </c>
      <c r="G274" s="306">
        <f t="shared" ca="1" si="127"/>
        <v>58.703991587474455</v>
      </c>
      <c r="H274" s="307">
        <f t="shared" ca="1" si="128"/>
        <v>293.0069482615645</v>
      </c>
      <c r="I274" s="304">
        <f t="shared" ca="1" si="129"/>
        <v>298.82976819228941</v>
      </c>
      <c r="J274" s="306">
        <f t="shared" ca="1" si="130"/>
        <v>113.82607353723641</v>
      </c>
      <c r="K274" s="307">
        <f t="shared" ca="1" si="131"/>
        <v>593.75854055706498</v>
      </c>
      <c r="L274" s="304">
        <f t="shared" ca="1" si="116"/>
        <v>604.57057445873113</v>
      </c>
      <c r="M274" s="306">
        <f t="shared" ca="1" si="132"/>
        <v>1.3730640887170829</v>
      </c>
      <c r="N274" s="304">
        <f t="shared" ca="1" si="133"/>
        <v>78.670777284465288</v>
      </c>
      <c r="P274" s="310">
        <f t="shared" ca="1" si="134"/>
        <v>7</v>
      </c>
      <c r="Q274" s="304">
        <f t="shared" ca="1" si="135"/>
        <v>473.17021276596023</v>
      </c>
      <c r="R274" s="306">
        <f t="shared" ca="1" si="136"/>
        <v>0.23746208397287022</v>
      </c>
      <c r="S274" s="307">
        <f t="shared" ca="1" si="137"/>
        <v>5.1120923764403958</v>
      </c>
      <c r="T274" s="304">
        <f t="shared" ca="1" si="117"/>
        <v>50.149626212880285</v>
      </c>
      <c r="U274" s="311">
        <f t="shared" ca="1" si="118"/>
        <v>0</v>
      </c>
      <c r="V274" s="306">
        <f t="shared" ca="1" si="119"/>
        <v>1.1543616839539066</v>
      </c>
      <c r="W274" s="304">
        <f t="shared" ca="1" si="120"/>
        <v>334.45064501663711</v>
      </c>
      <c r="Y274" s="314" t="str">
        <f t="shared" ca="1" si="138"/>
        <v/>
      </c>
      <c r="Z274" s="315" t="str">
        <f t="shared" ca="1" si="139"/>
        <v/>
      </c>
      <c r="AA274" s="316" t="str">
        <f t="shared" ca="1" si="140"/>
        <v/>
      </c>
      <c r="AC274" s="310" t="e">
        <f t="shared" ca="1" si="141"/>
        <v>#N/A</v>
      </c>
      <c r="AD274" s="323" t="e">
        <f t="shared" ca="1" si="142"/>
        <v>#N/A</v>
      </c>
      <c r="AE274" s="324">
        <f t="shared" ca="1" si="121"/>
        <v>593.75854055706498</v>
      </c>
      <c r="AG274" s="306">
        <f t="shared" ca="1" si="143"/>
        <v>17.574371404227655</v>
      </c>
      <c r="AH274" s="304">
        <f t="shared" ca="1" si="144"/>
        <v>27.19334377272159</v>
      </c>
    </row>
    <row r="275" spans="1:34" x14ac:dyDescent="0.2">
      <c r="A275" s="347">
        <f t="shared" ca="1" si="122"/>
        <v>0.01</v>
      </c>
      <c r="B275" s="304">
        <f t="shared" ca="1" si="123"/>
        <v>2.7099999999999862</v>
      </c>
      <c r="D275" s="306">
        <f t="shared" ca="1" si="124"/>
        <v>5.2546219439876269</v>
      </c>
      <c r="E275" s="307">
        <f t="shared" ca="1" si="125"/>
        <v>16.417189982164253</v>
      </c>
      <c r="F275" s="304">
        <f t="shared" ca="1" si="126"/>
        <v>17.237609424879967</v>
      </c>
      <c r="G275" s="306">
        <f t="shared" ca="1" si="127"/>
        <v>58.756537806914331</v>
      </c>
      <c r="H275" s="307">
        <f t="shared" ca="1" si="128"/>
        <v>293.17112016138617</v>
      </c>
      <c r="I275" s="304">
        <f t="shared" ca="1" si="129"/>
        <v>299.00106426522512</v>
      </c>
      <c r="J275" s="306">
        <f t="shared" ca="1" si="130"/>
        <v>114.41337618420836</v>
      </c>
      <c r="K275" s="307">
        <f t="shared" ca="1" si="131"/>
        <v>596.68943089917968</v>
      </c>
      <c r="L275" s="304">
        <f t="shared" ca="1" si="116"/>
        <v>607.55962472555404</v>
      </c>
      <c r="M275" s="306">
        <f t="shared" ca="1" si="132"/>
        <v>1.3729996361754946</v>
      </c>
      <c r="N275" s="304">
        <f t="shared" ca="1" si="133"/>
        <v>78.667084425853389</v>
      </c>
      <c r="P275" s="310">
        <f t="shared" ca="1" si="134"/>
        <v>7</v>
      </c>
      <c r="Q275" s="304">
        <f t="shared" ca="1" si="135"/>
        <v>471.1276595744709</v>
      </c>
      <c r="R275" s="306">
        <f t="shared" ca="1" si="136"/>
        <v>0.23643702169212941</v>
      </c>
      <c r="S275" s="307">
        <f t="shared" ca="1" si="137"/>
        <v>5.1097280062234747</v>
      </c>
      <c r="T275" s="304">
        <f t="shared" ca="1" si="117"/>
        <v>50.126431741052286</v>
      </c>
      <c r="U275" s="311">
        <f t="shared" ca="1" si="118"/>
        <v>0</v>
      </c>
      <c r="V275" s="306">
        <f t="shared" ca="1" si="119"/>
        <v>1.1540231029308108</v>
      </c>
      <c r="W275" s="304">
        <f t="shared" ca="1" si="120"/>
        <v>334.7359756423615</v>
      </c>
      <c r="Y275" s="314" t="str">
        <f t="shared" ca="1" si="138"/>
        <v/>
      </c>
      <c r="Z275" s="315" t="str">
        <f t="shared" ca="1" si="139"/>
        <v/>
      </c>
      <c r="AA275" s="316" t="str">
        <f t="shared" ca="1" si="140"/>
        <v/>
      </c>
      <c r="AC275" s="310" t="e">
        <f t="shared" ca="1" si="141"/>
        <v>#N/A</v>
      </c>
      <c r="AD275" s="323" t="e">
        <f t="shared" ca="1" si="142"/>
        <v>#N/A</v>
      </c>
      <c r="AE275" s="324">
        <f t="shared" ca="1" si="121"/>
        <v>596.68943089917968</v>
      </c>
      <c r="AG275" s="306">
        <f t="shared" ca="1" si="143"/>
        <v>17.12954518910464</v>
      </c>
      <c r="AH275" s="304">
        <f t="shared" ca="1" si="144"/>
        <v>26.748393337446892</v>
      </c>
    </row>
    <row r="276" spans="1:34" x14ac:dyDescent="0.2">
      <c r="A276" s="347">
        <f t="shared" ca="1" si="122"/>
        <v>0.01</v>
      </c>
      <c r="B276" s="304">
        <f t="shared" ca="1" si="123"/>
        <v>2.719999999999986</v>
      </c>
      <c r="D276" s="306">
        <f t="shared" ca="1" si="124"/>
        <v>5.1691683000270201</v>
      </c>
      <c r="E276" s="307">
        <f t="shared" ca="1" si="125"/>
        <v>15.982038084369835</v>
      </c>
      <c r="F276" s="304">
        <f t="shared" ca="1" si="126"/>
        <v>16.797197452082656</v>
      </c>
      <c r="G276" s="306">
        <f t="shared" ca="1" si="127"/>
        <v>58.808229489914602</v>
      </c>
      <c r="H276" s="307">
        <f t="shared" ca="1" si="128"/>
        <v>293.33094054222988</v>
      </c>
      <c r="I276" s="304">
        <f t="shared" ca="1" si="129"/>
        <v>299.16792698270257</v>
      </c>
      <c r="J276" s="306">
        <f t="shared" ca="1" si="130"/>
        <v>115.00120002069251</v>
      </c>
      <c r="K276" s="307">
        <f t="shared" ca="1" si="131"/>
        <v>599.62194120269771</v>
      </c>
      <c r="L276" s="304">
        <f t="shared" ca="1" si="116"/>
        <v>610.55036514434323</v>
      </c>
      <c r="M276" s="306">
        <f t="shared" ca="1" si="132"/>
        <v>1.3729351988600509</v>
      </c>
      <c r="N276" s="304">
        <f t="shared" ca="1" si="133"/>
        <v>78.663392439635302</v>
      </c>
      <c r="P276" s="310">
        <f t="shared" ca="1" si="134"/>
        <v>7</v>
      </c>
      <c r="Q276" s="304">
        <f t="shared" ca="1" si="135"/>
        <v>469.08510638298156</v>
      </c>
      <c r="R276" s="306">
        <f t="shared" ca="1" si="136"/>
        <v>0.23541195941138857</v>
      </c>
      <c r="S276" s="307">
        <f t="shared" ca="1" si="137"/>
        <v>5.107373886629361</v>
      </c>
      <c r="T276" s="304">
        <f t="shared" ca="1" si="117"/>
        <v>50.103337827834032</v>
      </c>
      <c r="U276" s="311">
        <f t="shared" ca="1" si="118"/>
        <v>0</v>
      </c>
      <c r="V276" s="306">
        <f t="shared" ca="1" si="119"/>
        <v>1.1536844311929717</v>
      </c>
      <c r="W276" s="304">
        <f t="shared" ca="1" si="120"/>
        <v>335.01134548980832</v>
      </c>
      <c r="Y276" s="314" t="str">
        <f t="shared" ca="1" si="138"/>
        <v/>
      </c>
      <c r="Z276" s="315" t="str">
        <f t="shared" ca="1" si="139"/>
        <v/>
      </c>
      <c r="AA276" s="316" t="str">
        <f t="shared" ca="1" si="140"/>
        <v/>
      </c>
      <c r="AC276" s="310" t="e">
        <f t="shared" ca="1" si="141"/>
        <v>#N/A</v>
      </c>
      <c r="AD276" s="323" t="e">
        <f t="shared" ca="1" si="142"/>
        <v>#N/A</v>
      </c>
      <c r="AE276" s="324">
        <f t="shared" ca="1" si="121"/>
        <v>599.62194120269771</v>
      </c>
      <c r="AG276" s="306">
        <f t="shared" ca="1" si="143"/>
        <v>16.686209637975999</v>
      </c>
      <c r="AH276" s="304">
        <f t="shared" ca="1" si="144"/>
        <v>26.304933557406837</v>
      </c>
    </row>
    <row r="277" spans="1:34" x14ac:dyDescent="0.2">
      <c r="A277" s="347">
        <f t="shared" ca="1" si="122"/>
        <v>0.01</v>
      </c>
      <c r="B277" s="304">
        <f t="shared" ca="1" si="123"/>
        <v>2.7299999999999858</v>
      </c>
      <c r="D277" s="306">
        <f t="shared" ca="1" si="124"/>
        <v>5.0839511411157048</v>
      </c>
      <c r="E277" s="307">
        <f t="shared" ca="1" si="125"/>
        <v>15.548358563574192</v>
      </c>
      <c r="F277" s="304">
        <f t="shared" ca="1" si="126"/>
        <v>16.358423311148375</v>
      </c>
      <c r="G277" s="306">
        <f t="shared" ca="1" si="127"/>
        <v>58.859069001325757</v>
      </c>
      <c r="H277" s="307">
        <f t="shared" ca="1" si="128"/>
        <v>293.48642412786563</v>
      </c>
      <c r="I277" s="304">
        <f t="shared" ca="1" si="129"/>
        <v>299.33037124732977</v>
      </c>
      <c r="J277" s="306">
        <f t="shared" ca="1" si="130"/>
        <v>115.58953651314872</v>
      </c>
      <c r="K277" s="307">
        <f t="shared" ca="1" si="131"/>
        <v>602.55602802604824</v>
      </c>
      <c r="L277" s="304">
        <f t="shared" ca="1" si="116"/>
        <v>613.54275145408769</v>
      </c>
      <c r="M277" s="306">
        <f t="shared" ca="1" si="132"/>
        <v>1.3728707758079943</v>
      </c>
      <c r="N277" s="304">
        <f t="shared" ca="1" si="133"/>
        <v>78.659701270649123</v>
      </c>
      <c r="P277" s="310">
        <f t="shared" ca="1" si="134"/>
        <v>7</v>
      </c>
      <c r="Q277" s="304">
        <f t="shared" ca="1" si="135"/>
        <v>467.04255319149229</v>
      </c>
      <c r="R277" s="306">
        <f t="shared" ca="1" si="136"/>
        <v>0.23438689713064778</v>
      </c>
      <c r="S277" s="307">
        <f t="shared" ca="1" si="137"/>
        <v>5.1050300176580548</v>
      </c>
      <c r="T277" s="304">
        <f t="shared" ca="1" si="117"/>
        <v>50.080344473225523</v>
      </c>
      <c r="U277" s="311">
        <f t="shared" ca="1" si="118"/>
        <v>0</v>
      </c>
      <c r="V277" s="306">
        <f t="shared" ca="1" si="119"/>
        <v>1.1533456738738812</v>
      </c>
      <c r="W277" s="304">
        <f t="shared" ca="1" si="120"/>
        <v>335.27678128941506</v>
      </c>
      <c r="Y277" s="314" t="str">
        <f t="shared" ca="1" si="138"/>
        <v/>
      </c>
      <c r="Z277" s="315" t="str">
        <f t="shared" ca="1" si="139"/>
        <v/>
      </c>
      <c r="AA277" s="316" t="str">
        <f t="shared" ca="1" si="140"/>
        <v/>
      </c>
      <c r="AC277" s="310" t="e">
        <f t="shared" ca="1" si="141"/>
        <v>#N/A</v>
      </c>
      <c r="AD277" s="323" t="e">
        <f t="shared" ca="1" si="142"/>
        <v>#N/A</v>
      </c>
      <c r="AE277" s="324">
        <f t="shared" ca="1" si="121"/>
        <v>602.55602802604824</v>
      </c>
      <c r="AG277" s="306">
        <f t="shared" ca="1" si="143"/>
        <v>16.244364346731203</v>
      </c>
      <c r="AH277" s="304">
        <f t="shared" ca="1" si="144"/>
        <v>25.862964026654954</v>
      </c>
    </row>
    <row r="278" spans="1:34" x14ac:dyDescent="0.2">
      <c r="A278" s="347">
        <f t="shared" ca="1" si="122"/>
        <v>0.01</v>
      </c>
      <c r="B278" s="304">
        <f t="shared" ca="1" si="123"/>
        <v>2.7399999999999856</v>
      </c>
      <c r="D278" s="306">
        <f t="shared" ca="1" si="124"/>
        <v>4.998970692087978</v>
      </c>
      <c r="E278" s="307">
        <f t="shared" ca="1" si="125"/>
        <v>15.11615084869686</v>
      </c>
      <c r="F278" s="304">
        <f t="shared" ca="1" si="126"/>
        <v>15.921297825897025</v>
      </c>
      <c r="G278" s="306">
        <f t="shared" ca="1" si="127"/>
        <v>58.90905870824664</v>
      </c>
      <c r="H278" s="307">
        <f t="shared" ca="1" si="128"/>
        <v>293.63758563635258</v>
      </c>
      <c r="I278" s="304">
        <f t="shared" ca="1" si="129"/>
        <v>299.48841195651954</v>
      </c>
      <c r="J278" s="306">
        <f t="shared" ca="1" si="130"/>
        <v>116.17837715169658</v>
      </c>
      <c r="K278" s="307">
        <f t="shared" ca="1" si="131"/>
        <v>605.49164807486932</v>
      </c>
      <c r="L278" s="304">
        <f t="shared" ca="1" si="116"/>
        <v>616.53673954276496</v>
      </c>
      <c r="M278" s="306">
        <f t="shared" ca="1" si="132"/>
        <v>1.372806366061659</v>
      </c>
      <c r="N278" s="304">
        <f t="shared" ca="1" si="133"/>
        <v>78.656010864024594</v>
      </c>
      <c r="P278" s="310">
        <f t="shared" ca="1" si="134"/>
        <v>7</v>
      </c>
      <c r="Q278" s="304">
        <f t="shared" ca="1" si="135"/>
        <v>465.00000000000296</v>
      </c>
      <c r="R278" s="306">
        <f t="shared" ca="1" si="136"/>
        <v>0.23336183484990697</v>
      </c>
      <c r="S278" s="307">
        <f t="shared" ca="1" si="137"/>
        <v>5.102696399309556</v>
      </c>
      <c r="T278" s="304">
        <f t="shared" ca="1" si="117"/>
        <v>50.057451677226744</v>
      </c>
      <c r="U278" s="311">
        <f t="shared" ca="1" si="118"/>
        <v>0</v>
      </c>
      <c r="V278" s="306">
        <f t="shared" ca="1" si="119"/>
        <v>1.1530068360843009</v>
      </c>
      <c r="W278" s="304">
        <f t="shared" ca="1" si="120"/>
        <v>335.53231025616412</v>
      </c>
      <c r="Y278" s="314" t="str">
        <f t="shared" ca="1" si="138"/>
        <v/>
      </c>
      <c r="Z278" s="315" t="str">
        <f t="shared" ca="1" si="139"/>
        <v/>
      </c>
      <c r="AA278" s="316" t="str">
        <f t="shared" ca="1" si="140"/>
        <v/>
      </c>
      <c r="AC278" s="310" t="e">
        <f t="shared" ca="1" si="141"/>
        <v>#N/A</v>
      </c>
      <c r="AD278" s="323" t="e">
        <f t="shared" ca="1" si="142"/>
        <v>#N/A</v>
      </c>
      <c r="AE278" s="324">
        <f t="shared" ca="1" si="121"/>
        <v>605.49164807486932</v>
      </c>
      <c r="AG278" s="306">
        <f t="shared" ca="1" si="143"/>
        <v>15.804008795866064</v>
      </c>
      <c r="AH278" s="304">
        <f t="shared" ca="1" si="144"/>
        <v>25.422484223858724</v>
      </c>
    </row>
    <row r="279" spans="1:34" x14ac:dyDescent="0.2">
      <c r="A279" s="347">
        <f t="shared" ca="1" si="122"/>
        <v>0.01</v>
      </c>
      <c r="B279" s="304">
        <f t="shared" ca="1" si="123"/>
        <v>2.7499999999999853</v>
      </c>
      <c r="D279" s="306">
        <f t="shared" ca="1" si="124"/>
        <v>4.9142271533132407</v>
      </c>
      <c r="E279" s="307">
        <f t="shared" ca="1" si="125"/>
        <v>14.685414257323737</v>
      </c>
      <c r="F279" s="304">
        <f t="shared" ca="1" si="126"/>
        <v>15.485832894086402</v>
      </c>
      <c r="G279" s="306">
        <f t="shared" ca="1" si="127"/>
        <v>58.958200979779775</v>
      </c>
      <c r="H279" s="307">
        <f t="shared" ca="1" si="128"/>
        <v>293.78443977892584</v>
      </c>
      <c r="I279" s="304">
        <f t="shared" ca="1" si="129"/>
        <v>299.64206400135049</v>
      </c>
      <c r="J279" s="306">
        <f t="shared" ca="1" si="130"/>
        <v>116.76771345013671</v>
      </c>
      <c r="K279" s="307">
        <f t="shared" ca="1" si="131"/>
        <v>608.4287582019457</v>
      </c>
      <c r="L279" s="304">
        <f t="shared" ca="1" si="116"/>
        <v>619.53228544728393</v>
      </c>
      <c r="M279" s="306">
        <f t="shared" ca="1" si="132"/>
        <v>1.3727419686683744</v>
      </c>
      <c r="N279" s="304">
        <f t="shared" ca="1" si="133"/>
        <v>78.652321165177739</v>
      </c>
      <c r="P279" s="310">
        <f t="shared" ca="1" si="134"/>
        <v>7</v>
      </c>
      <c r="Q279" s="304">
        <f t="shared" ca="1" si="135"/>
        <v>462.95744680851362</v>
      </c>
      <c r="R279" s="306">
        <f t="shared" ca="1" si="136"/>
        <v>0.23233677256916616</v>
      </c>
      <c r="S279" s="307">
        <f t="shared" ca="1" si="137"/>
        <v>5.1003730315838647</v>
      </c>
      <c r="T279" s="304">
        <f t="shared" ca="1" si="117"/>
        <v>50.034659439837718</v>
      </c>
      <c r="U279" s="311">
        <f t="shared" ca="1" si="118"/>
        <v>0</v>
      </c>
      <c r="V279" s="306">
        <f t="shared" ca="1" si="119"/>
        <v>1.1526679229122938</v>
      </c>
      <c r="W279" s="304">
        <f t="shared" ca="1" si="120"/>
        <v>335.7779600808808</v>
      </c>
      <c r="Y279" s="314" t="str">
        <f t="shared" ca="1" si="138"/>
        <v/>
      </c>
      <c r="Z279" s="315" t="str">
        <f t="shared" ca="1" si="139"/>
        <v/>
      </c>
      <c r="AA279" s="316" t="str">
        <f t="shared" ca="1" si="140"/>
        <v/>
      </c>
      <c r="AC279" s="310" t="e">
        <f t="shared" ca="1" si="141"/>
        <v>#N/A</v>
      </c>
      <c r="AD279" s="323" t="e">
        <f t="shared" ca="1" si="142"/>
        <v>#N/A</v>
      </c>
      <c r="AE279" s="324">
        <f t="shared" ca="1" si="121"/>
        <v>608.4287582019457</v>
      </c>
      <c r="AG279" s="306">
        <f t="shared" ca="1" si="143"/>
        <v>15.365142351946778</v>
      </c>
      <c r="AH279" s="304">
        <f t="shared" ca="1" si="144"/>
        <v>24.983493513763449</v>
      </c>
    </row>
    <row r="280" spans="1:34" x14ac:dyDescent="0.2">
      <c r="A280" s="347">
        <f t="shared" ca="1" si="122"/>
        <v>0.01</v>
      </c>
      <c r="B280" s="304">
        <f t="shared" ca="1" si="123"/>
        <v>2.7599999999999851</v>
      </c>
      <c r="D280" s="306">
        <f t="shared" ca="1" si="124"/>
        <v>4.8297207009745753</v>
      </c>
      <c r="E280" s="307">
        <f t="shared" ca="1" si="125"/>
        <v>14.256147997139864</v>
      </c>
      <c r="F280" s="304">
        <f t="shared" ca="1" si="126"/>
        <v>15.052041647755871</v>
      </c>
      <c r="G280" s="306">
        <f t="shared" ca="1" si="127"/>
        <v>59.006498186789521</v>
      </c>
      <c r="H280" s="307">
        <f t="shared" ca="1" si="128"/>
        <v>293.92700125889723</v>
      </c>
      <c r="I280" s="304">
        <f t="shared" ca="1" si="129"/>
        <v>299.79134226544193</v>
      </c>
      <c r="J280" s="306">
        <f t="shared" ca="1" si="130"/>
        <v>117.35753694596956</v>
      </c>
      <c r="K280" s="307">
        <f t="shared" ca="1" si="131"/>
        <v>611.36731540713481</v>
      </c>
      <c r="L280" s="304">
        <f t="shared" ca="1" si="116"/>
        <v>622.52934535341512</v>
      </c>
      <c r="M280" s="306">
        <f t="shared" ca="1" si="132"/>
        <v>1.3726775826803681</v>
      </c>
      <c r="N280" s="304">
        <f t="shared" ca="1" si="133"/>
        <v>78.6486321198052</v>
      </c>
      <c r="P280" s="310">
        <f t="shared" ca="1" si="134"/>
        <v>7</v>
      </c>
      <c r="Q280" s="304">
        <f t="shared" ca="1" si="135"/>
        <v>460.91489361702429</v>
      </c>
      <c r="R280" s="306">
        <f t="shared" ca="1" si="136"/>
        <v>0.23131171028842534</v>
      </c>
      <c r="S280" s="307">
        <f t="shared" ca="1" si="137"/>
        <v>5.0980599144809808</v>
      </c>
      <c r="T280" s="304">
        <f t="shared" ca="1" si="117"/>
        <v>50.011967761058422</v>
      </c>
      <c r="U280" s="311">
        <f t="shared" ca="1" si="118"/>
        <v>0</v>
      </c>
      <c r="V280" s="306">
        <f t="shared" ca="1" si="119"/>
        <v>1.1523289394232554</v>
      </c>
      <c r="W280" s="304">
        <f t="shared" ca="1" si="120"/>
        <v>336.01375892159155</v>
      </c>
      <c r="Y280" s="314" t="str">
        <f t="shared" ca="1" si="138"/>
        <v/>
      </c>
      <c r="Z280" s="315" t="str">
        <f t="shared" ca="1" si="139"/>
        <v/>
      </c>
      <c r="AA280" s="316" t="str">
        <f t="shared" ca="1" si="140"/>
        <v/>
      </c>
      <c r="AC280" s="310" t="e">
        <f t="shared" ca="1" si="141"/>
        <v>#N/A</v>
      </c>
      <c r="AD280" s="323" t="e">
        <f t="shared" ca="1" si="142"/>
        <v>#N/A</v>
      </c>
      <c r="AE280" s="324">
        <f t="shared" ca="1" si="121"/>
        <v>611.36731540713481</v>
      </c>
      <c r="AG280" s="306">
        <f t="shared" ca="1" si="143"/>
        <v>14.927764269069023</v>
      </c>
      <c r="AH280" s="304">
        <f t="shared" ca="1" si="144"/>
        <v>24.545991148651169</v>
      </c>
    </row>
    <row r="281" spans="1:34" x14ac:dyDescent="0.2">
      <c r="A281" s="347">
        <f t="shared" ca="1" si="122"/>
        <v>0.01</v>
      </c>
      <c r="B281" s="304">
        <f t="shared" ca="1" si="123"/>
        <v>2.7699999999999849</v>
      </c>
      <c r="D281" s="306">
        <f t="shared" ca="1" si="124"/>
        <v>4.7454514873467142</v>
      </c>
      <c r="E281" s="307">
        <f t="shared" ca="1" si="125"/>
        <v>13.828351167357821</v>
      </c>
      <c r="F281" s="304">
        <f t="shared" ca="1" si="126"/>
        <v>14.61993863962936</v>
      </c>
      <c r="G281" s="306">
        <f t="shared" ca="1" si="127"/>
        <v>59.053952701662986</v>
      </c>
      <c r="H281" s="307">
        <f t="shared" ca="1" si="128"/>
        <v>294.06528477057083</v>
      </c>
      <c r="I281" s="304">
        <f t="shared" ca="1" si="129"/>
        <v>299.9362616238443</v>
      </c>
      <c r="J281" s="306">
        <f t="shared" ca="1" si="130"/>
        <v>117.94783920041182</v>
      </c>
      <c r="K281" s="307">
        <f t="shared" ca="1" si="131"/>
        <v>614.30727683728219</v>
      </c>
      <c r="L281" s="304">
        <f t="shared" ca="1" si="116"/>
        <v>625.52787559571107</v>
      </c>
      <c r="M281" s="306">
        <f t="shared" ca="1" si="132"/>
        <v>1.3726132071546702</v>
      </c>
      <c r="N281" s="304">
        <f t="shared" ca="1" si="133"/>
        <v>78.644943673878771</v>
      </c>
      <c r="P281" s="310">
        <f t="shared" ca="1" si="134"/>
        <v>7</v>
      </c>
      <c r="Q281" s="304">
        <f t="shared" ca="1" si="135"/>
        <v>458.87234042553501</v>
      </c>
      <c r="R281" s="306">
        <f t="shared" ca="1" si="136"/>
        <v>0.23028664800768453</v>
      </c>
      <c r="S281" s="307">
        <f t="shared" ca="1" si="137"/>
        <v>5.0957570480009036</v>
      </c>
      <c r="T281" s="304">
        <f t="shared" ca="1" si="117"/>
        <v>49.989376640888864</v>
      </c>
      <c r="U281" s="311">
        <f t="shared" ca="1" si="118"/>
        <v>0</v>
      </c>
      <c r="V281" s="306">
        <f t="shared" ca="1" si="119"/>
        <v>1.1519898906599473</v>
      </c>
      <c r="W281" s="304">
        <f t="shared" ca="1" si="120"/>
        <v>336.23973539494654</v>
      </c>
      <c r="Y281" s="314" t="str">
        <f t="shared" ca="1" si="138"/>
        <v/>
      </c>
      <c r="Z281" s="315" t="str">
        <f t="shared" ca="1" si="139"/>
        <v/>
      </c>
      <c r="AA281" s="316" t="str">
        <f t="shared" ca="1" si="140"/>
        <v/>
      </c>
      <c r="AC281" s="310" t="e">
        <f t="shared" ca="1" si="141"/>
        <v>#N/A</v>
      </c>
      <c r="AD281" s="323" t="e">
        <f t="shared" ca="1" si="142"/>
        <v>#N/A</v>
      </c>
      <c r="AE281" s="324">
        <f t="shared" ca="1" si="121"/>
        <v>614.30727683728219</v>
      </c>
      <c r="AG281" s="306">
        <f t="shared" ca="1" si="143"/>
        <v>14.491873690312664</v>
      </c>
      <c r="AH281" s="304">
        <f t="shared" ca="1" si="144"/>
        <v>24.109976269795208</v>
      </c>
    </row>
    <row r="282" spans="1:34" x14ac:dyDescent="0.2">
      <c r="A282" s="347">
        <f t="shared" ca="1" si="122"/>
        <v>0.01</v>
      </c>
      <c r="B282" s="304">
        <f t="shared" ca="1" si="123"/>
        <v>2.7799999999999847</v>
      </c>
      <c r="D282" s="306">
        <f t="shared" ca="1" si="124"/>
        <v>4.6614196410730724</v>
      </c>
      <c r="E282" s="307">
        <f t="shared" ca="1" si="125"/>
        <v>13.402022760140882</v>
      </c>
      <c r="F282" s="304">
        <f t="shared" ca="1" si="126"/>
        <v>14.189540060675542</v>
      </c>
      <c r="G282" s="306">
        <f t="shared" ca="1" si="127"/>
        <v>59.100566898073716</v>
      </c>
      <c r="H282" s="307">
        <f t="shared" ca="1" si="128"/>
        <v>294.19930499817224</v>
      </c>
      <c r="I282" s="304">
        <f t="shared" ca="1" si="129"/>
        <v>300.0768369419427</v>
      </c>
      <c r="J282" s="306">
        <f t="shared" ca="1" si="130"/>
        <v>118.5386117984105</v>
      </c>
      <c r="K282" s="307">
        <f t="shared" ca="1" si="131"/>
        <v>617.24859978612585</v>
      </c>
      <c r="L282" s="304">
        <f t="shared" ca="1" si="116"/>
        <v>628.52783265741482</v>
      </c>
      <c r="M282" s="306">
        <f t="shared" ca="1" si="132"/>
        <v>1.3725488411530196</v>
      </c>
      <c r="N282" s="304">
        <f t="shared" ca="1" si="133"/>
        <v>78.641255773640069</v>
      </c>
      <c r="P282" s="310">
        <f t="shared" ca="1" si="134"/>
        <v>7</v>
      </c>
      <c r="Q282" s="304">
        <f t="shared" ca="1" si="135"/>
        <v>456.82978723404568</v>
      </c>
      <c r="R282" s="306">
        <f t="shared" ca="1" si="136"/>
        <v>0.22926158572694372</v>
      </c>
      <c r="S282" s="307">
        <f t="shared" ca="1" si="137"/>
        <v>5.0934644321436338</v>
      </c>
      <c r="T282" s="304">
        <f t="shared" ca="1" si="117"/>
        <v>49.966886079329051</v>
      </c>
      <c r="U282" s="311">
        <f t="shared" ca="1" si="118"/>
        <v>0</v>
      </c>
      <c r="V282" s="306">
        <f t="shared" ca="1" si="119"/>
        <v>1.1516507816425274</v>
      </c>
      <c r="W282" s="304">
        <f t="shared" ca="1" si="120"/>
        <v>336.45591856770119</v>
      </c>
      <c r="Y282" s="314" t="str">
        <f t="shared" ca="1" si="138"/>
        <v/>
      </c>
      <c r="Z282" s="315" t="str">
        <f t="shared" ca="1" si="139"/>
        <v/>
      </c>
      <c r="AA282" s="316" t="str">
        <f t="shared" ca="1" si="140"/>
        <v/>
      </c>
      <c r="AC282" s="310" t="e">
        <f t="shared" ca="1" si="141"/>
        <v>#N/A</v>
      </c>
      <c r="AD282" s="323" t="e">
        <f t="shared" ca="1" si="142"/>
        <v>#N/A</v>
      </c>
      <c r="AE282" s="324">
        <f t="shared" ca="1" si="121"/>
        <v>617.24859978612585</v>
      </c>
      <c r="AG282" s="306">
        <f t="shared" ca="1" si="143"/>
        <v>14.0574696491911</v>
      </c>
      <c r="AH282" s="304">
        <f t="shared" ca="1" si="144"/>
        <v>23.675447908909351</v>
      </c>
    </row>
    <row r="283" spans="1:34" x14ac:dyDescent="0.2">
      <c r="A283" s="347">
        <f t="shared" ca="1" si="122"/>
        <v>0.01</v>
      </c>
      <c r="B283" s="304">
        <f t="shared" ca="1" si="123"/>
        <v>2.7899999999999845</v>
      </c>
      <c r="D283" s="306">
        <f t="shared" ca="1" si="124"/>
        <v>4.5776252674421389</v>
      </c>
      <c r="E283" s="307">
        <f t="shared" ca="1" si="125"/>
        <v>12.977161662021972</v>
      </c>
      <c r="F283" s="304">
        <f t="shared" ca="1" si="126"/>
        <v>13.760863995090483</v>
      </c>
      <c r="G283" s="306">
        <f t="shared" ca="1" si="127"/>
        <v>59.146343150748137</v>
      </c>
      <c r="H283" s="307">
        <f t="shared" ca="1" si="128"/>
        <v>294.32907661479248</v>
      </c>
      <c r="I283" s="304">
        <f t="shared" ca="1" si="129"/>
        <v>300.21308307437641</v>
      </c>
      <c r="J283" s="306">
        <f t="shared" ca="1" si="130"/>
        <v>119.12984634865461</v>
      </c>
      <c r="K283" s="307">
        <f t="shared" ca="1" si="131"/>
        <v>620.19124169419069</v>
      </c>
      <c r="L283" s="304">
        <f t="shared" ca="1" si="116"/>
        <v>631.52917317035804</v>
      </c>
      <c r="M283" s="306">
        <f t="shared" ca="1" si="132"/>
        <v>1.3724844837417696</v>
      </c>
      <c r="N283" s="304">
        <f t="shared" ca="1" si="133"/>
        <v>78.637568365595044</v>
      </c>
      <c r="P283" s="310">
        <f t="shared" ca="1" si="134"/>
        <v>7</v>
      </c>
      <c r="Q283" s="304">
        <f t="shared" ca="1" si="135"/>
        <v>454.78723404255635</v>
      </c>
      <c r="R283" s="306">
        <f t="shared" ca="1" si="136"/>
        <v>0.2282365234462029</v>
      </c>
      <c r="S283" s="307">
        <f t="shared" ca="1" si="137"/>
        <v>5.0911820669091714</v>
      </c>
      <c r="T283" s="304">
        <f t="shared" ca="1" si="117"/>
        <v>49.944496076378975</v>
      </c>
      <c r="U283" s="311">
        <f t="shared" ca="1" si="118"/>
        <v>0</v>
      </c>
      <c r="V283" s="306">
        <f t="shared" ca="1" si="119"/>
        <v>1.151311617368592</v>
      </c>
      <c r="W283" s="304">
        <f t="shared" ca="1" si="120"/>
        <v>336.662337948269</v>
      </c>
      <c r="Y283" s="314" t="str">
        <f t="shared" ca="1" si="138"/>
        <v/>
      </c>
      <c r="Z283" s="315" t="str">
        <f t="shared" ca="1" si="139"/>
        <v/>
      </c>
      <c r="AA283" s="316" t="str">
        <f t="shared" ca="1" si="140"/>
        <v/>
      </c>
      <c r="AC283" s="310" t="e">
        <f t="shared" ca="1" si="141"/>
        <v>#N/A</v>
      </c>
      <c r="AD283" s="323" t="e">
        <f t="shared" ca="1" si="142"/>
        <v>#N/A</v>
      </c>
      <c r="AE283" s="324">
        <f t="shared" ca="1" si="121"/>
        <v>620.19124169419069</v>
      </c>
      <c r="AG283" s="306">
        <f t="shared" ca="1" si="143"/>
        <v>13.624551071096407</v>
      </c>
      <c r="AH283" s="304">
        <f t="shared" ca="1" si="144"/>
        <v>23.24240498959281</v>
      </c>
    </row>
    <row r="284" spans="1:34" x14ac:dyDescent="0.2">
      <c r="A284" s="347">
        <f t="shared" ca="1" si="122"/>
        <v>0.01</v>
      </c>
      <c r="B284" s="304">
        <f t="shared" ca="1" si="123"/>
        <v>2.7999999999999843</v>
      </c>
      <c r="D284" s="306">
        <f t="shared" ca="1" si="124"/>
        <v>4.4940684486627083</v>
      </c>
      <c r="E284" s="307">
        <f t="shared" ca="1" si="125"/>
        <v>12.553766655315799</v>
      </c>
      <c r="F284" s="304">
        <f t="shared" ca="1" si="126"/>
        <v>13.333930720435909</v>
      </c>
      <c r="G284" s="306">
        <f t="shared" ca="1" si="127"/>
        <v>59.191283835234763</v>
      </c>
      <c r="H284" s="307">
        <f t="shared" ca="1" si="128"/>
        <v>294.45461428134564</v>
      </c>
      <c r="I284" s="304">
        <f t="shared" ca="1" si="129"/>
        <v>300.34501486397164</v>
      </c>
      <c r="J284" s="306">
        <f t="shared" ca="1" si="130"/>
        <v>119.72153448358452</v>
      </c>
      <c r="K284" s="307">
        <f t="shared" ca="1" si="131"/>
        <v>623.13516014867139</v>
      </c>
      <c r="L284" s="304">
        <f t="shared" ca="1" si="116"/>
        <v>634.5318539148484</v>
      </c>
      <c r="M284" s="306">
        <f t="shared" ca="1" si="132"/>
        <v>1.3724201339917979</v>
      </c>
      <c r="N284" s="304">
        <f t="shared" ca="1" si="133"/>
        <v>78.633881396508954</v>
      </c>
      <c r="P284" s="310">
        <f t="shared" ca="1" si="134"/>
        <v>7</v>
      </c>
      <c r="Q284" s="304">
        <f t="shared" ca="1" si="135"/>
        <v>452.74468085106707</v>
      </c>
      <c r="R284" s="306">
        <f t="shared" ca="1" si="136"/>
        <v>0.22721146116546212</v>
      </c>
      <c r="S284" s="307">
        <f t="shared" ca="1" si="137"/>
        <v>5.0889099522975165</v>
      </c>
      <c r="T284" s="304">
        <f t="shared" ca="1" si="117"/>
        <v>49.922206632038638</v>
      </c>
      <c r="U284" s="311">
        <f t="shared" ca="1" si="118"/>
        <v>0</v>
      </c>
      <c r="V284" s="306">
        <f t="shared" ca="1" si="119"/>
        <v>1.1509724028132085</v>
      </c>
      <c r="W284" s="304">
        <f t="shared" ca="1" si="120"/>
        <v>336.85902347833201</v>
      </c>
      <c r="Y284" s="314" t="str">
        <f t="shared" ca="1" si="138"/>
        <v/>
      </c>
      <c r="Z284" s="315" t="str">
        <f t="shared" ca="1" si="139"/>
        <v/>
      </c>
      <c r="AA284" s="316" t="str">
        <f t="shared" ca="1" si="140"/>
        <v/>
      </c>
      <c r="AC284" s="310" t="e">
        <f t="shared" ca="1" si="141"/>
        <v>#N/A</v>
      </c>
      <c r="AD284" s="323" t="e">
        <f t="shared" ca="1" si="142"/>
        <v>#N/A</v>
      </c>
      <c r="AE284" s="324">
        <f t="shared" ca="1" si="121"/>
        <v>623.13516014867139</v>
      </c>
      <c r="AG284" s="306">
        <f t="shared" ca="1" si="143"/>
        <v>13.193116774737526</v>
      </c>
      <c r="AH284" s="304">
        <f t="shared" ca="1" si="144"/>
        <v>22.81084632876826</v>
      </c>
    </row>
    <row r="285" spans="1:34" x14ac:dyDescent="0.2">
      <c r="A285" s="347">
        <f t="shared" ca="1" si="122"/>
        <v>0.01</v>
      </c>
      <c r="B285" s="304">
        <f t="shared" ca="1" si="123"/>
        <v>2.8099999999999841</v>
      </c>
      <c r="D285" s="306">
        <f t="shared" ca="1" si="124"/>
        <v>4.4107492441383727</v>
      </c>
      <c r="E285" s="307">
        <f t="shared" ca="1" si="125"/>
        <v>12.131836419526786</v>
      </c>
      <c r="F285" s="304">
        <f t="shared" ca="1" si="126"/>
        <v>12.908763062541032</v>
      </c>
      <c r="G285" s="306">
        <f t="shared" ca="1" si="127"/>
        <v>59.235391327676147</v>
      </c>
      <c r="H285" s="307">
        <f t="shared" ca="1" si="128"/>
        <v>294.57593264554089</v>
      </c>
      <c r="I285" s="304">
        <f t="shared" ca="1" si="129"/>
        <v>300.47264714068928</v>
      </c>
      <c r="J285" s="306">
        <f t="shared" ca="1" si="130"/>
        <v>120.31366785939908</v>
      </c>
      <c r="K285" s="307">
        <f t="shared" ca="1" si="131"/>
        <v>626.08031288330585</v>
      </c>
      <c r="L285" s="304">
        <f t="shared" ca="1" si="116"/>
        <v>637.53583181954559</v>
      </c>
      <c r="M285" s="306">
        <f t="shared" ca="1" si="132"/>
        <v>1.3723557909784132</v>
      </c>
      <c r="N285" s="304">
        <f t="shared" ca="1" si="133"/>
        <v>78.630194813400848</v>
      </c>
      <c r="P285" s="310">
        <f t="shared" ca="1" si="134"/>
        <v>7</v>
      </c>
      <c r="Q285" s="304">
        <f t="shared" ca="1" si="135"/>
        <v>450.70212765957774</v>
      </c>
      <c r="R285" s="306">
        <f t="shared" ca="1" si="136"/>
        <v>0.22618639888472128</v>
      </c>
      <c r="S285" s="307">
        <f t="shared" ca="1" si="137"/>
        <v>5.0866480883086691</v>
      </c>
      <c r="T285" s="304">
        <f t="shared" ca="1" si="117"/>
        <v>49.900017746308045</v>
      </c>
      <c r="U285" s="311">
        <f t="shared" ca="1" si="118"/>
        <v>0</v>
      </c>
      <c r="V285" s="306">
        <f t="shared" ca="1" si="119"/>
        <v>1.1506331429289545</v>
      </c>
      <c r="W285" s="304">
        <f t="shared" ca="1" si="120"/>
        <v>337.04600552452018</v>
      </c>
      <c r="Y285" s="314" t="str">
        <f t="shared" ca="1" si="138"/>
        <v/>
      </c>
      <c r="Z285" s="315" t="str">
        <f t="shared" ca="1" si="139"/>
        <v/>
      </c>
      <c r="AA285" s="316" t="str">
        <f t="shared" ca="1" si="140"/>
        <v/>
      </c>
      <c r="AC285" s="310" t="e">
        <f t="shared" ca="1" si="141"/>
        <v>#N/A</v>
      </c>
      <c r="AD285" s="323" t="e">
        <f t="shared" ca="1" si="142"/>
        <v>#N/A</v>
      </c>
      <c r="AE285" s="324">
        <f t="shared" ca="1" si="121"/>
        <v>626.08031288330585</v>
      </c>
      <c r="AG285" s="306">
        <f t="shared" ca="1" si="143"/>
        <v>12.763165473574235</v>
      </c>
      <c r="AH285" s="304">
        <f t="shared" ca="1" si="144"/>
        <v>22.380770638115646</v>
      </c>
    </row>
    <row r="286" spans="1:34" x14ac:dyDescent="0.2">
      <c r="A286" s="347">
        <f t="shared" ca="1" si="122"/>
        <v>0.01</v>
      </c>
      <c r="B286" s="304">
        <f t="shared" ca="1" si="123"/>
        <v>2.8199999999999839</v>
      </c>
      <c r="D286" s="306">
        <f t="shared" ca="1" si="124"/>
        <v>4.3276676907410305</v>
      </c>
      <c r="E286" s="307">
        <f t="shared" ca="1" si="125"/>
        <v>11.711369532750686</v>
      </c>
      <c r="F286" s="304">
        <f t="shared" ca="1" si="126"/>
        <v>12.485386817160485</v>
      </c>
      <c r="G286" s="306">
        <f t="shared" ca="1" si="127"/>
        <v>59.278668004583558</v>
      </c>
      <c r="H286" s="307">
        <f t="shared" ca="1" si="128"/>
        <v>294.69304634086842</v>
      </c>
      <c r="I286" s="304">
        <f t="shared" ca="1" si="129"/>
        <v>300.59599472058648</v>
      </c>
      <c r="J286" s="306">
        <f t="shared" ca="1" si="130"/>
        <v>120.90623815606037</v>
      </c>
      <c r="K286" s="307">
        <f t="shared" ca="1" si="131"/>
        <v>629.0266577782379</v>
      </c>
      <c r="L286" s="304">
        <f t="shared" ca="1" si="116"/>
        <v>640.54106396132829</v>
      </c>
      <c r="M286" s="306">
        <f t="shared" ca="1" si="132"/>
        <v>1.3722914537812672</v>
      </c>
      <c r="N286" s="304">
        <f t="shared" ca="1" si="133"/>
        <v>78.626508563538678</v>
      </c>
      <c r="P286" s="310">
        <f t="shared" ca="1" si="134"/>
        <v>7</v>
      </c>
      <c r="Q286" s="304">
        <f t="shared" ca="1" si="135"/>
        <v>448.65957446808841</v>
      </c>
      <c r="R286" s="306">
        <f t="shared" ca="1" si="136"/>
        <v>0.22516133660398047</v>
      </c>
      <c r="S286" s="307">
        <f t="shared" ca="1" si="137"/>
        <v>5.0843964749426291</v>
      </c>
      <c r="T286" s="304">
        <f t="shared" ca="1" si="117"/>
        <v>49.877929419187197</v>
      </c>
      <c r="U286" s="311">
        <f t="shared" ca="1" si="118"/>
        <v>0</v>
      </c>
      <c r="V286" s="306">
        <f t="shared" ca="1" si="119"/>
        <v>1.1502938426459592</v>
      </c>
      <c r="W286" s="304">
        <f t="shared" ca="1" si="120"/>
        <v>337.22331487015595</v>
      </c>
      <c r="Y286" s="314" t="str">
        <f t="shared" ca="1" si="138"/>
        <v/>
      </c>
      <c r="Z286" s="315" t="str">
        <f t="shared" ca="1" si="139"/>
        <v/>
      </c>
      <c r="AA286" s="316" t="str">
        <f t="shared" ca="1" si="140"/>
        <v/>
      </c>
      <c r="AC286" s="310" t="e">
        <f t="shared" ca="1" si="141"/>
        <v>#N/A</v>
      </c>
      <c r="AD286" s="323" t="e">
        <f t="shared" ca="1" si="142"/>
        <v>#N/A</v>
      </c>
      <c r="AE286" s="324">
        <f t="shared" ca="1" si="121"/>
        <v>629.0266577782379</v>
      </c>
      <c r="AG286" s="306">
        <f t="shared" ca="1" si="143"/>
        <v>12.334695777244681</v>
      </c>
      <c r="AH286" s="304">
        <f t="shared" ca="1" si="144"/>
        <v>21.952176525499546</v>
      </c>
    </row>
    <row r="287" spans="1:34" x14ac:dyDescent="0.2">
      <c r="A287" s="347">
        <f t="shared" ca="1" si="122"/>
        <v>0.01</v>
      </c>
      <c r="B287" s="304">
        <f t="shared" ca="1" si="123"/>
        <v>2.8299999999999836</v>
      </c>
      <c r="D287" s="306">
        <f t="shared" ca="1" si="124"/>
        <v>4.2448238030833174</v>
      </c>
      <c r="E287" s="307">
        <f t="shared" ca="1" si="125"/>
        <v>11.292364473070302</v>
      </c>
      <c r="F287" s="304">
        <f t="shared" ca="1" si="126"/>
        <v>12.063831253456883</v>
      </c>
      <c r="G287" s="306">
        <f t="shared" ca="1" si="127"/>
        <v>59.321116242614394</v>
      </c>
      <c r="H287" s="307">
        <f t="shared" ca="1" si="128"/>
        <v>294.80596998559912</v>
      </c>
      <c r="I287" s="304">
        <f t="shared" ca="1" si="129"/>
        <v>300.71507240479275</v>
      </c>
      <c r="J287" s="306">
        <f t="shared" ca="1" si="130"/>
        <v>121.49923707729636</v>
      </c>
      <c r="K287" s="307">
        <f t="shared" ca="1" si="131"/>
        <v>631.97415285987029</v>
      </c>
      <c r="L287" s="304">
        <f t="shared" ca="1" si="116"/>
        <v>643.5475075651492</v>
      </c>
      <c r="M287" s="306">
        <f t="shared" ca="1" si="132"/>
        <v>1.3722271214842643</v>
      </c>
      <c r="N287" s="304">
        <f t="shared" ca="1" si="133"/>
        <v>78.622822594434041</v>
      </c>
      <c r="P287" s="310">
        <f t="shared" ca="1" si="134"/>
        <v>7</v>
      </c>
      <c r="Q287" s="304">
        <f t="shared" ca="1" si="135"/>
        <v>446.61702127659908</v>
      </c>
      <c r="R287" s="306">
        <f t="shared" ca="1" si="136"/>
        <v>0.22413627432323965</v>
      </c>
      <c r="S287" s="307">
        <f t="shared" ca="1" si="137"/>
        <v>5.0821551121993966</v>
      </c>
      <c r="T287" s="304">
        <f t="shared" ca="1" si="117"/>
        <v>49.855941650676087</v>
      </c>
      <c r="U287" s="311">
        <f t="shared" ca="1" si="118"/>
        <v>0</v>
      </c>
      <c r="V287" s="306">
        <f t="shared" ca="1" si="119"/>
        <v>1.1499545068719437</v>
      </c>
      <c r="W287" s="304">
        <f t="shared" ca="1" si="120"/>
        <v>337.39098270706427</v>
      </c>
      <c r="Y287" s="314" t="str">
        <f t="shared" ca="1" si="138"/>
        <v/>
      </c>
      <c r="Z287" s="315" t="str">
        <f t="shared" ca="1" si="139"/>
        <v/>
      </c>
      <c r="AA287" s="316" t="str">
        <f t="shared" ca="1" si="140"/>
        <v/>
      </c>
      <c r="AC287" s="310" t="e">
        <f t="shared" ca="1" si="141"/>
        <v>#N/A</v>
      </c>
      <c r="AD287" s="323" t="e">
        <f t="shared" ca="1" si="142"/>
        <v>#N/A</v>
      </c>
      <c r="AE287" s="324">
        <f t="shared" ca="1" si="121"/>
        <v>631.97415285987029</v>
      </c>
      <c r="AG287" s="306">
        <f t="shared" ca="1" si="143"/>
        <v>11.907706192986989</v>
      </c>
      <c r="AH287" s="304">
        <f t="shared" ca="1" si="144"/>
        <v>21.525062496390628</v>
      </c>
    </row>
    <row r="288" spans="1:34" x14ac:dyDescent="0.2">
      <c r="A288" s="347">
        <f t="shared" ca="1" si="122"/>
        <v>0.01</v>
      </c>
      <c r="B288" s="304">
        <f t="shared" ca="1" si="123"/>
        <v>2.8399999999999834</v>
      </c>
      <c r="D288" s="306">
        <f t="shared" ca="1" si="124"/>
        <v>4.1622175737900644</v>
      </c>
      <c r="E288" s="307">
        <f t="shared" ca="1" si="125"/>
        <v>10.874819619945312</v>
      </c>
      <c r="F288" s="304">
        <f t="shared" ca="1" si="126"/>
        <v>11.644129718356556</v>
      </c>
      <c r="G288" s="306">
        <f t="shared" ca="1" si="127"/>
        <v>59.362738418352293</v>
      </c>
      <c r="H288" s="307">
        <f t="shared" ca="1" si="128"/>
        <v>294.91471818179855</v>
      </c>
      <c r="I288" s="304">
        <f t="shared" ca="1" si="129"/>
        <v>300.82989497850008</v>
      </c>
      <c r="J288" s="306">
        <f t="shared" ca="1" si="130"/>
        <v>122.09265635060119</v>
      </c>
      <c r="K288" s="307">
        <f t="shared" ca="1" si="131"/>
        <v>634.92275630070731</v>
      </c>
      <c r="L288" s="304">
        <f t="shared" ca="1" si="116"/>
        <v>646.55512000388126</v>
      </c>
      <c r="M288" s="306">
        <f t="shared" ca="1" si="132"/>
        <v>1.3721627931754747</v>
      </c>
      <c r="N288" s="304">
        <f t="shared" ca="1" si="133"/>
        <v>78.619136853837176</v>
      </c>
      <c r="P288" s="310">
        <f t="shared" ca="1" si="134"/>
        <v>7</v>
      </c>
      <c r="Q288" s="304">
        <f t="shared" ca="1" si="135"/>
        <v>444.57446808510974</v>
      </c>
      <c r="R288" s="306">
        <f t="shared" ca="1" si="136"/>
        <v>0.22311121204249884</v>
      </c>
      <c r="S288" s="307">
        <f t="shared" ca="1" si="137"/>
        <v>5.0799240000789716</v>
      </c>
      <c r="T288" s="304">
        <f t="shared" ca="1" si="117"/>
        <v>49.834054440774715</v>
      </c>
      <c r="U288" s="311">
        <f t="shared" ca="1" si="118"/>
        <v>0</v>
      </c>
      <c r="V288" s="306">
        <f t="shared" ca="1" si="119"/>
        <v>1.149615140492263</v>
      </c>
      <c r="W288" s="304">
        <f t="shared" ca="1" si="120"/>
        <v>337.54904062745089</v>
      </c>
      <c r="Y288" s="314" t="str">
        <f t="shared" ca="1" si="138"/>
        <v/>
      </c>
      <c r="Z288" s="315" t="str">
        <f t="shared" ca="1" si="139"/>
        <v/>
      </c>
      <c r="AA288" s="316" t="str">
        <f t="shared" ca="1" si="140"/>
        <v/>
      </c>
      <c r="AC288" s="310" t="e">
        <f t="shared" ca="1" si="141"/>
        <v>#N/A</v>
      </c>
      <c r="AD288" s="323" t="e">
        <f t="shared" ca="1" si="142"/>
        <v>#N/A</v>
      </c>
      <c r="AE288" s="324">
        <f t="shared" ca="1" si="121"/>
        <v>634.92275630070731</v>
      </c>
      <c r="AG288" s="306">
        <f t="shared" ca="1" si="143"/>
        <v>11.482195127054839</v>
      </c>
      <c r="AH288" s="304">
        <f t="shared" ca="1" si="144"/>
        <v>21.099426955281068</v>
      </c>
    </row>
    <row r="289" spans="1:34" x14ac:dyDescent="0.2">
      <c r="A289" s="347">
        <f t="shared" ca="1" si="122"/>
        <v>0.01</v>
      </c>
      <c r="B289" s="304">
        <f t="shared" ca="1" si="123"/>
        <v>2.8499999999999832</v>
      </c>
      <c r="D289" s="306">
        <f t="shared" ca="1" si="124"/>
        <v>4.0798489737686428</v>
      </c>
      <c r="E289" s="307">
        <f t="shared" ca="1" si="125"/>
        <v>10.458733255595606</v>
      </c>
      <c r="F289" s="304">
        <f t="shared" ca="1" si="126"/>
        <v>11.226320366017642</v>
      </c>
      <c r="G289" s="306">
        <f t="shared" ca="1" si="127"/>
        <v>59.403536908089983</v>
      </c>
      <c r="H289" s="307">
        <f t="shared" ca="1" si="128"/>
        <v>295.01930551435453</v>
      </c>
      <c r="I289" s="304">
        <f t="shared" ca="1" si="129"/>
        <v>300.9404772099673</v>
      </c>
      <c r="J289" s="306">
        <f t="shared" ca="1" si="130"/>
        <v>122.6864877272334</v>
      </c>
      <c r="K289" s="307">
        <f t="shared" ca="1" si="131"/>
        <v>637.87242641918806</v>
      </c>
      <c r="L289" s="304">
        <f t="shared" ca="1" si="116"/>
        <v>649.56385879815321</v>
      </c>
      <c r="M289" s="306">
        <f t="shared" ca="1" si="132"/>
        <v>1.3720984679470463</v>
      </c>
      <c r="N289" s="304">
        <f t="shared" ca="1" si="133"/>
        <v>78.615451289732022</v>
      </c>
      <c r="P289" s="310">
        <f t="shared" ca="1" si="134"/>
        <v>7</v>
      </c>
      <c r="Q289" s="304">
        <f t="shared" ca="1" si="135"/>
        <v>442.53191489362047</v>
      </c>
      <c r="R289" s="306">
        <f t="shared" ca="1" si="136"/>
        <v>0.22208614976175803</v>
      </c>
      <c r="S289" s="307">
        <f t="shared" ca="1" si="137"/>
        <v>5.077703138581354</v>
      </c>
      <c r="T289" s="304">
        <f t="shared" ca="1" si="117"/>
        <v>49.812267789483087</v>
      </c>
      <c r="U289" s="311">
        <f t="shared" ca="1" si="118"/>
        <v>0</v>
      </c>
      <c r="V289" s="306">
        <f t="shared" ca="1" si="119"/>
        <v>1.1492757483699514</v>
      </c>
      <c r="W289" s="304">
        <f t="shared" ca="1" si="120"/>
        <v>337.69752061584717</v>
      </c>
      <c r="Y289" s="314" t="str">
        <f t="shared" ca="1" si="138"/>
        <v/>
      </c>
      <c r="Z289" s="315" t="str">
        <f t="shared" ca="1" si="139"/>
        <v/>
      </c>
      <c r="AA289" s="316" t="str">
        <f t="shared" ca="1" si="140"/>
        <v/>
      </c>
      <c r="AC289" s="310" t="e">
        <f t="shared" ca="1" si="141"/>
        <v>#N/A</v>
      </c>
      <c r="AD289" s="323" t="e">
        <f t="shared" ca="1" si="142"/>
        <v>#N/A</v>
      </c>
      <c r="AE289" s="324">
        <f t="shared" ca="1" si="121"/>
        <v>637.87242641918806</v>
      </c>
      <c r="AG289" s="306">
        <f t="shared" ca="1" si="143"/>
        <v>11.058160886126503</v>
      </c>
      <c r="AH289" s="304">
        <f t="shared" ca="1" si="144"/>
        <v>20.675268207093428</v>
      </c>
    </row>
    <row r="290" spans="1:34" x14ac:dyDescent="0.2">
      <c r="A290" s="347">
        <f t="shared" ca="1" si="122"/>
        <v>0.01</v>
      </c>
      <c r="B290" s="304">
        <f t="shared" ca="1" si="123"/>
        <v>2.859999999999983</v>
      </c>
      <c r="D290" s="306">
        <f t="shared" ca="1" si="124"/>
        <v>3.9977179524782147</v>
      </c>
      <c r="E290" s="307">
        <f t="shared" ca="1" si="125"/>
        <v>10.044103566378238</v>
      </c>
      <c r="F290" s="304">
        <f t="shared" ca="1" si="126"/>
        <v>10.81044704347136</v>
      </c>
      <c r="G290" s="306">
        <f t="shared" ca="1" si="127"/>
        <v>59.443514087614766</v>
      </c>
      <c r="H290" s="307">
        <f t="shared" ca="1" si="128"/>
        <v>295.11974655001831</v>
      </c>
      <c r="I290" s="304">
        <f t="shared" ca="1" si="129"/>
        <v>301.0468338495383</v>
      </c>
      <c r="J290" s="306">
        <f t="shared" ca="1" si="130"/>
        <v>123.28072298221193</v>
      </c>
      <c r="K290" s="307">
        <f t="shared" ca="1" si="131"/>
        <v>640.82312167950988</v>
      </c>
      <c r="L290" s="304">
        <f t="shared" ca="1" si="116"/>
        <v>652.57368161617489</v>
      </c>
      <c r="M290" s="306">
        <f t="shared" ca="1" si="132"/>
        <v>1.3720341448951194</v>
      </c>
      <c r="N290" s="304">
        <f t="shared" ca="1" si="133"/>
        <v>78.61176585033121</v>
      </c>
      <c r="P290" s="310">
        <f t="shared" ca="1" si="134"/>
        <v>7</v>
      </c>
      <c r="Q290" s="304">
        <f t="shared" ca="1" si="135"/>
        <v>440.48936170213113</v>
      </c>
      <c r="R290" s="306">
        <f t="shared" ca="1" si="136"/>
        <v>0.22106108748101722</v>
      </c>
      <c r="S290" s="307">
        <f t="shared" ca="1" si="137"/>
        <v>5.0754925277065439</v>
      </c>
      <c r="T290" s="304">
        <f t="shared" ca="1" si="117"/>
        <v>49.790581696801198</v>
      </c>
      <c r="U290" s="311">
        <f t="shared" ca="1" si="118"/>
        <v>0</v>
      </c>
      <c r="V290" s="306">
        <f t="shared" ca="1" si="119"/>
        <v>1.1489363353457656</v>
      </c>
      <c r="W290" s="304">
        <f t="shared" ca="1" si="120"/>
        <v>337.8364550411232</v>
      </c>
      <c r="Y290" s="314" t="str">
        <f t="shared" ca="1" si="138"/>
        <v/>
      </c>
      <c r="Z290" s="315" t="str">
        <f t="shared" ca="1" si="139"/>
        <v/>
      </c>
      <c r="AA290" s="316" t="str">
        <f t="shared" ca="1" si="140"/>
        <v/>
      </c>
      <c r="AC290" s="310" t="e">
        <f t="shared" ca="1" si="141"/>
        <v>#N/A</v>
      </c>
      <c r="AD290" s="323" t="e">
        <f t="shared" ca="1" si="142"/>
        <v>#N/A</v>
      </c>
      <c r="AE290" s="324">
        <f t="shared" ca="1" si="121"/>
        <v>640.82312167950988</v>
      </c>
      <c r="AG290" s="306">
        <f t="shared" ca="1" si="143"/>
        <v>10.635601678707395</v>
      </c>
      <c r="AH290" s="304">
        <f t="shared" ca="1" si="144"/>
        <v>20.252584458583051</v>
      </c>
    </row>
    <row r="291" spans="1:34" x14ac:dyDescent="0.2">
      <c r="A291" s="347">
        <f t="shared" ca="1" si="122"/>
        <v>0.01</v>
      </c>
      <c r="B291" s="304">
        <f t="shared" ca="1" si="123"/>
        <v>2.8699999999999828</v>
      </c>
      <c r="D291" s="306">
        <f t="shared" ca="1" si="124"/>
        <v>3.915824438197824</v>
      </c>
      <c r="E291" s="307">
        <f t="shared" ca="1" si="125"/>
        <v>9.630928644157839</v>
      </c>
      <c r="F291" s="304">
        <f t="shared" ca="1" si="126"/>
        <v>10.396560372529333</v>
      </c>
      <c r="G291" s="306">
        <f t="shared" ca="1" si="127"/>
        <v>59.482672331996746</v>
      </c>
      <c r="H291" s="307">
        <f t="shared" ca="1" si="128"/>
        <v>295.21605583645987</v>
      </c>
      <c r="I291" s="304">
        <f t="shared" ca="1" si="129"/>
        <v>301.14897962867394</v>
      </c>
      <c r="J291" s="306">
        <f t="shared" ca="1" si="130"/>
        <v>123.87535391430998</v>
      </c>
      <c r="K291" s="307">
        <f t="shared" ca="1" si="131"/>
        <v>643.77480069144224</v>
      </c>
      <c r="L291" s="304">
        <f t="shared" ca="1" si="116"/>
        <v>655.584546273554</v>
      </c>
      <c r="M291" s="306">
        <f t="shared" ca="1" si="132"/>
        <v>1.3719698231197417</v>
      </c>
      <c r="N291" s="304">
        <f t="shared" ca="1" si="133"/>
        <v>78.60808048407128</v>
      </c>
      <c r="P291" s="310">
        <f t="shared" ca="1" si="134"/>
        <v>7</v>
      </c>
      <c r="Q291" s="304">
        <f t="shared" ca="1" si="135"/>
        <v>438.44680851064186</v>
      </c>
      <c r="R291" s="306">
        <f t="shared" ca="1" si="136"/>
        <v>0.22003602520027643</v>
      </c>
      <c r="S291" s="307">
        <f t="shared" ca="1" si="137"/>
        <v>5.0732921674545413</v>
      </c>
      <c r="T291" s="304">
        <f t="shared" ca="1" si="117"/>
        <v>49.768996162729053</v>
      </c>
      <c r="U291" s="311">
        <f t="shared" ca="1" si="118"/>
        <v>0</v>
      </c>
      <c r="V291" s="306">
        <f t="shared" ca="1" si="119"/>
        <v>1.1485969062382331</v>
      </c>
      <c r="W291" s="304">
        <f t="shared" ca="1" si="120"/>
        <v>337.96587664856838</v>
      </c>
      <c r="Y291" s="314" t="str">
        <f t="shared" ca="1" si="138"/>
        <v/>
      </c>
      <c r="Z291" s="315" t="str">
        <f t="shared" ca="1" si="139"/>
        <v/>
      </c>
      <c r="AA291" s="316" t="str">
        <f t="shared" ca="1" si="140"/>
        <v/>
      </c>
      <c r="AC291" s="310" t="e">
        <f t="shared" ca="1" si="141"/>
        <v>#N/A</v>
      </c>
      <c r="AD291" s="323" t="e">
        <f t="shared" ca="1" si="142"/>
        <v>#N/A</v>
      </c>
      <c r="AE291" s="324">
        <f t="shared" ca="1" si="121"/>
        <v>643.77480069144224</v>
      </c>
      <c r="AG291" s="306">
        <f t="shared" ca="1" si="143"/>
        <v>10.214515616525983</v>
      </c>
      <c r="AH291" s="304">
        <f t="shared" ca="1" si="144"/>
        <v>19.831373819733823</v>
      </c>
    </row>
    <row r="292" spans="1:34" x14ac:dyDescent="0.2">
      <c r="A292" s="347">
        <f t="shared" ca="1" si="122"/>
        <v>0.01</v>
      </c>
      <c r="B292" s="304">
        <f t="shared" ca="1" si="123"/>
        <v>2.8799999999999826</v>
      </c>
      <c r="D292" s="306">
        <f t="shared" ca="1" si="124"/>
        <v>3.8341683382933414</v>
      </c>
      <c r="E292" s="307">
        <f t="shared" ca="1" si="125"/>
        <v>9.2192064876701973</v>
      </c>
      <c r="F292" s="304">
        <f t="shared" ca="1" si="126"/>
        <v>9.9847190801079311</v>
      </c>
      <c r="G292" s="306">
        <f t="shared" ca="1" si="127"/>
        <v>59.521014015379677</v>
      </c>
      <c r="H292" s="307">
        <f t="shared" ca="1" si="128"/>
        <v>295.30824790133659</v>
      </c>
      <c r="I292" s="304">
        <f t="shared" ca="1" si="129"/>
        <v>301.24692925899893</v>
      </c>
      <c r="J292" s="306">
        <f t="shared" ca="1" si="130"/>
        <v>124.47037234604686</v>
      </c>
      <c r="K292" s="307">
        <f t="shared" ca="1" si="131"/>
        <v>646.72742221013118</v>
      </c>
      <c r="L292" s="304">
        <f t="shared" ca="1" si="116"/>
        <v>658.59641073310206</v>
      </c>
      <c r="M292" s="306">
        <f t="shared" ca="1" si="132"/>
        <v>1.3719055017247839</v>
      </c>
      <c r="N292" s="304">
        <f t="shared" ca="1" si="133"/>
        <v>78.604395139607803</v>
      </c>
      <c r="P292" s="310">
        <f t="shared" ca="1" si="134"/>
        <v>7</v>
      </c>
      <c r="Q292" s="304">
        <f t="shared" ca="1" si="135"/>
        <v>436.40425531915253</v>
      </c>
      <c r="R292" s="306">
        <f t="shared" ca="1" si="136"/>
        <v>0.21901096291953562</v>
      </c>
      <c r="S292" s="307">
        <f t="shared" ca="1" si="137"/>
        <v>5.0711020578253461</v>
      </c>
      <c r="T292" s="304">
        <f t="shared" ca="1" si="117"/>
        <v>49.747511187266646</v>
      </c>
      <c r="U292" s="311">
        <f t="shared" ca="1" si="118"/>
        <v>0</v>
      </c>
      <c r="V292" s="306">
        <f t="shared" ca="1" si="119"/>
        <v>1.1482574658436979</v>
      </c>
      <c r="W292" s="304">
        <f t="shared" ca="1" si="120"/>
        <v>338.08581855204289</v>
      </c>
      <c r="Y292" s="314" t="str">
        <f t="shared" ca="1" si="138"/>
        <v/>
      </c>
      <c r="Z292" s="315" t="str">
        <f t="shared" ca="1" si="139"/>
        <v/>
      </c>
      <c r="AA292" s="316" t="str">
        <f t="shared" ca="1" si="140"/>
        <v/>
      </c>
      <c r="AC292" s="310" t="e">
        <f t="shared" ca="1" si="141"/>
        <v>#N/A</v>
      </c>
      <c r="AD292" s="323" t="e">
        <f t="shared" ca="1" si="142"/>
        <v>#N/A</v>
      </c>
      <c r="AE292" s="324">
        <f t="shared" ca="1" si="121"/>
        <v>646.72742221013118</v>
      </c>
      <c r="AG292" s="306">
        <f t="shared" ca="1" si="143"/>
        <v>9.794900715922795</v>
      </c>
      <c r="AH292" s="304">
        <f t="shared" ca="1" si="144"/>
        <v>19.411634305147022</v>
      </c>
    </row>
    <row r="293" spans="1:34" x14ac:dyDescent="0.2">
      <c r="A293" s="347">
        <f t="shared" ca="1" si="122"/>
        <v>0.01</v>
      </c>
      <c r="B293" s="304">
        <f t="shared" ca="1" si="123"/>
        <v>2.8899999999999824</v>
      </c>
      <c r="D293" s="306">
        <f t="shared" ca="1" si="124"/>
        <v>3.7527495394831183</v>
      </c>
      <c r="E293" s="307">
        <f t="shared" ca="1" si="125"/>
        <v>8.8089350038787</v>
      </c>
      <c r="F293" s="304">
        <f t="shared" ca="1" si="126"/>
        <v>9.574991645356679</v>
      </c>
      <c r="G293" s="306">
        <f t="shared" ca="1" si="127"/>
        <v>59.558541510774511</v>
      </c>
      <c r="H293" s="307">
        <f t="shared" ca="1" si="128"/>
        <v>295.39633725137537</v>
      </c>
      <c r="I293" s="304">
        <f t="shared" ca="1" si="129"/>
        <v>301.34069743136081</v>
      </c>
      <c r="J293" s="306">
        <f t="shared" ca="1" si="130"/>
        <v>125.06577012367762</v>
      </c>
      <c r="K293" s="307">
        <f t="shared" ca="1" si="131"/>
        <v>649.68094513589472</v>
      </c>
      <c r="L293" s="304">
        <f t="shared" ca="1" si="116"/>
        <v>661.60923310463102</v>
      </c>
      <c r="M293" s="306">
        <f t="shared" ca="1" si="132"/>
        <v>1.3718411798178558</v>
      </c>
      <c r="N293" s="304">
        <f t="shared" ca="1" si="133"/>
        <v>78.600709765810592</v>
      </c>
      <c r="P293" s="310">
        <f t="shared" ca="1" si="134"/>
        <v>7</v>
      </c>
      <c r="Q293" s="304">
        <f t="shared" ca="1" si="135"/>
        <v>434.36170212766319</v>
      </c>
      <c r="R293" s="306">
        <f t="shared" ca="1" si="136"/>
        <v>0.21798590063879481</v>
      </c>
      <c r="S293" s="307">
        <f t="shared" ca="1" si="137"/>
        <v>5.0689221988189583</v>
      </c>
      <c r="T293" s="304">
        <f t="shared" ca="1" si="117"/>
        <v>49.726126770413984</v>
      </c>
      <c r="U293" s="311">
        <f t="shared" ca="1" si="118"/>
        <v>0</v>
      </c>
      <c r="V293" s="306">
        <f t="shared" ca="1" si="119"/>
        <v>1.1479180189363716</v>
      </c>
      <c r="W293" s="304">
        <f t="shared" ca="1" si="120"/>
        <v>338.19631422619545</v>
      </c>
      <c r="Y293" s="314" t="str">
        <f t="shared" ca="1" si="138"/>
        <v/>
      </c>
      <c r="Z293" s="315" t="str">
        <f t="shared" ca="1" si="139"/>
        <v/>
      </c>
      <c r="AA293" s="316" t="str">
        <f t="shared" ca="1" si="140"/>
        <v/>
      </c>
      <c r="AC293" s="310" t="e">
        <f t="shared" ca="1" si="141"/>
        <v>#N/A</v>
      </c>
      <c r="AD293" s="323" t="e">
        <f t="shared" ca="1" si="142"/>
        <v>#N/A</v>
      </c>
      <c r="AE293" s="324">
        <f t="shared" ca="1" si="121"/>
        <v>649.68094513589472</v>
      </c>
      <c r="AG293" s="306">
        <f t="shared" ca="1" si="143"/>
        <v>9.376754899232143</v>
      </c>
      <c r="AH293" s="304">
        <f t="shared" ca="1" si="144"/>
        <v>18.993363835422894</v>
      </c>
    </row>
    <row r="294" spans="1:34" x14ac:dyDescent="0.2">
      <c r="A294" s="347">
        <f t="shared" ca="1" si="122"/>
        <v>0.01</v>
      </c>
      <c r="B294" s="304">
        <f t="shared" ca="1" si="123"/>
        <v>2.8999999999999821</v>
      </c>
      <c r="D294" s="306">
        <f t="shared" ca="1" si="124"/>
        <v>3.6715679081025248</v>
      </c>
      <c r="E294" s="307">
        <f t="shared" ca="1" si="125"/>
        <v>8.4001120093240598</v>
      </c>
      <c r="F294" s="304">
        <f t="shared" ca="1" si="126"/>
        <v>9.1674583540367749</v>
      </c>
      <c r="G294" s="306">
        <f t="shared" ca="1" si="127"/>
        <v>59.595257189855538</v>
      </c>
      <c r="H294" s="307">
        <f t="shared" ca="1" si="128"/>
        <v>295.48033837146863</v>
      </c>
      <c r="I294" s="304">
        <f t="shared" ca="1" si="129"/>
        <v>301.43029881490452</v>
      </c>
      <c r="J294" s="306">
        <f t="shared" ca="1" si="130"/>
        <v>125.66153911718078</v>
      </c>
      <c r="K294" s="307">
        <f t="shared" ca="1" si="131"/>
        <v>652.63532851400896</v>
      </c>
      <c r="L294" s="304">
        <f t="shared" ca="1" si="116"/>
        <v>664.62297164474171</v>
      </c>
      <c r="M294" s="306">
        <f t="shared" ca="1" si="132"/>
        <v>1.3717768565102246</v>
      </c>
      <c r="N294" s="304">
        <f t="shared" ca="1" si="133"/>
        <v>78.597024311759</v>
      </c>
      <c r="P294" s="310">
        <f t="shared" ca="1" si="134"/>
        <v>7</v>
      </c>
      <c r="Q294" s="304">
        <f t="shared" ca="1" si="135"/>
        <v>432.31914893617386</v>
      </c>
      <c r="R294" s="306">
        <f t="shared" ca="1" si="136"/>
        <v>0.21696083835805396</v>
      </c>
      <c r="S294" s="307">
        <f t="shared" ca="1" si="137"/>
        <v>5.0667525904353781</v>
      </c>
      <c r="T294" s="304">
        <f t="shared" ca="1" si="117"/>
        <v>49.70484291217106</v>
      </c>
      <c r="U294" s="311">
        <f t="shared" ca="1" si="118"/>
        <v>0</v>
      </c>
      <c r="V294" s="306">
        <f t="shared" ca="1" si="119"/>
        <v>1.1475785702683798</v>
      </c>
      <c r="W294" s="304">
        <f t="shared" ca="1" si="120"/>
        <v>338.29739749875318</v>
      </c>
      <c r="Y294" s="314" t="str">
        <f t="shared" ca="1" si="138"/>
        <v/>
      </c>
      <c r="Z294" s="315" t="str">
        <f t="shared" ca="1" si="139"/>
        <v/>
      </c>
      <c r="AA294" s="316" t="str">
        <f t="shared" ca="1" si="140"/>
        <v/>
      </c>
      <c r="AC294" s="310" t="e">
        <f t="shared" ca="1" si="141"/>
        <v>#N/A</v>
      </c>
      <c r="AD294" s="323" t="e">
        <f t="shared" ca="1" si="142"/>
        <v>#N/A</v>
      </c>
      <c r="AE294" s="324">
        <f t="shared" ca="1" si="121"/>
        <v>652.63532851400896</v>
      </c>
      <c r="AG294" s="306">
        <f t="shared" ca="1" si="143"/>
        <v>8.9600759961570855</v>
      </c>
      <c r="AH294" s="304">
        <f t="shared" ca="1" si="144"/>
        <v>18.576560238535464</v>
      </c>
    </row>
    <row r="295" spans="1:34" x14ac:dyDescent="0.2">
      <c r="A295" s="347">
        <f t="shared" ca="1" si="122"/>
        <v>0.01</v>
      </c>
      <c r="B295" s="304">
        <f t="shared" ca="1" si="123"/>
        <v>2.9099999999999819</v>
      </c>
      <c r="D295" s="306">
        <f t="shared" ca="1" si="124"/>
        <v>3.5906232903670845</v>
      </c>
      <c r="E295" s="307">
        <f t="shared" ca="1" si="125"/>
        <v>7.9927352314663889</v>
      </c>
      <c r="F295" s="304">
        <f t="shared" ca="1" si="126"/>
        <v>8.7622138808437349</v>
      </c>
      <c r="G295" s="306">
        <f t="shared" ca="1" si="127"/>
        <v>59.631163422759208</v>
      </c>
      <c r="H295" s="307">
        <f t="shared" ca="1" si="128"/>
        <v>295.56026572378329</v>
      </c>
      <c r="I295" s="304">
        <f t="shared" ca="1" si="129"/>
        <v>301.51574805615905</v>
      </c>
      <c r="J295" s="306">
        <f t="shared" ca="1" si="130"/>
        <v>126.25767122024385</v>
      </c>
      <c r="K295" s="307">
        <f t="shared" ca="1" si="131"/>
        <v>655.59053153448519</v>
      </c>
      <c r="L295" s="304">
        <f t="shared" ca="1" si="116"/>
        <v>667.63758475660131</v>
      </c>
      <c r="M295" s="306">
        <f t="shared" ca="1" si="132"/>
        <v>1.3717125309167335</v>
      </c>
      <c r="N295" s="304">
        <f t="shared" ca="1" si="133"/>
        <v>78.593338726737286</v>
      </c>
      <c r="P295" s="310">
        <f t="shared" ca="1" si="134"/>
        <v>7</v>
      </c>
      <c r="Q295" s="304">
        <f t="shared" ca="1" si="135"/>
        <v>430.27659574468453</v>
      </c>
      <c r="R295" s="306">
        <f t="shared" ca="1" si="136"/>
        <v>0.21593577607731315</v>
      </c>
      <c r="S295" s="307">
        <f t="shared" ca="1" si="137"/>
        <v>5.0645932326746053</v>
      </c>
      <c r="T295" s="304">
        <f t="shared" ca="1" si="117"/>
        <v>49.68365961253788</v>
      </c>
      <c r="U295" s="311">
        <f t="shared" ca="1" si="118"/>
        <v>0</v>
      </c>
      <c r="V295" s="306">
        <f t="shared" ca="1" si="119"/>
        <v>1.1472391245698186</v>
      </c>
      <c r="W295" s="304">
        <f t="shared" ca="1" si="120"/>
        <v>338.38910254287987</v>
      </c>
      <c r="Y295" s="314" t="str">
        <f t="shared" ca="1" si="138"/>
        <v/>
      </c>
      <c r="Z295" s="315" t="str">
        <f t="shared" ca="1" si="139"/>
        <v/>
      </c>
      <c r="AA295" s="316" t="str">
        <f t="shared" ca="1" si="140"/>
        <v/>
      </c>
      <c r="AC295" s="310" t="e">
        <f t="shared" ca="1" si="141"/>
        <v>#N/A</v>
      </c>
      <c r="AD295" s="323" t="e">
        <f t="shared" ca="1" si="142"/>
        <v>#N/A</v>
      </c>
      <c r="AE295" s="324">
        <f t="shared" ca="1" si="121"/>
        <v>655.59053153448519</v>
      </c>
      <c r="AG295" s="306">
        <f t="shared" ca="1" si="143"/>
        <v>8.5448617451365596</v>
      </c>
      <c r="AH295" s="304">
        <f t="shared" ca="1" si="144"/>
        <v>18.161221251199525</v>
      </c>
    </row>
    <row r="296" spans="1:34" x14ac:dyDescent="0.2">
      <c r="A296" s="347">
        <f t="shared" ca="1" si="122"/>
        <v>0.01</v>
      </c>
      <c r="B296" s="304">
        <f t="shared" ca="1" si="123"/>
        <v>2.9199999999999817</v>
      </c>
      <c r="D296" s="306">
        <f t="shared" ca="1" si="124"/>
        <v>3.5099155126343762</v>
      </c>
      <c r="E296" s="307">
        <f t="shared" ca="1" si="125"/>
        <v>7.5868023100201203</v>
      </c>
      <c r="F296" s="304">
        <f t="shared" ca="1" si="126"/>
        <v>8.3593705622587446</v>
      </c>
      <c r="G296" s="306">
        <f t="shared" ca="1" si="127"/>
        <v>59.666262577885554</v>
      </c>
      <c r="H296" s="307">
        <f t="shared" ca="1" si="128"/>
        <v>295.6361337468835</v>
      </c>
      <c r="I296" s="304">
        <f t="shared" ca="1" si="129"/>
        <v>301.59705977813906</v>
      </c>
      <c r="J296" s="306">
        <f t="shared" ca="1" si="130"/>
        <v>126.85415835024708</v>
      </c>
      <c r="K296" s="307">
        <f t="shared" ca="1" si="131"/>
        <v>658.54651353183851</v>
      </c>
      <c r="L296" s="304">
        <f t="shared" ca="1" si="116"/>
        <v>670.65303098971344</v>
      </c>
      <c r="M296" s="306">
        <f t="shared" ca="1" si="132"/>
        <v>1.3716482021557201</v>
      </c>
      <c r="N296" s="304">
        <f t="shared" ca="1" si="133"/>
        <v>78.589652960229913</v>
      </c>
      <c r="P296" s="310">
        <f t="shared" ca="1" si="134"/>
        <v>7</v>
      </c>
      <c r="Q296" s="304">
        <f t="shared" ca="1" si="135"/>
        <v>428.23404255319525</v>
      </c>
      <c r="R296" s="306">
        <f t="shared" ca="1" si="136"/>
        <v>0.21491071379657237</v>
      </c>
      <c r="S296" s="307">
        <f t="shared" ca="1" si="137"/>
        <v>5.0624441255366399</v>
      </c>
      <c r="T296" s="304">
        <f t="shared" ca="1" si="117"/>
        <v>49.662576871514439</v>
      </c>
      <c r="U296" s="311">
        <f t="shared" ca="1" si="118"/>
        <v>0</v>
      </c>
      <c r="V296" s="306">
        <f t="shared" ca="1" si="119"/>
        <v>1.1468996865488015</v>
      </c>
      <c r="W296" s="304">
        <f t="shared" ca="1" si="120"/>
        <v>338.47146386960532</v>
      </c>
      <c r="Y296" s="314" t="str">
        <f t="shared" ca="1" si="138"/>
        <v/>
      </c>
      <c r="Z296" s="315" t="str">
        <f t="shared" ca="1" si="139"/>
        <v/>
      </c>
      <c r="AA296" s="316" t="str">
        <f t="shared" ca="1" si="140"/>
        <v/>
      </c>
      <c r="AC296" s="310" t="e">
        <f t="shared" ca="1" si="141"/>
        <v>#N/A</v>
      </c>
      <c r="AD296" s="323" t="e">
        <f t="shared" ca="1" si="142"/>
        <v>#N/A</v>
      </c>
      <c r="AE296" s="324">
        <f t="shared" ca="1" si="121"/>
        <v>658.54651353183851</v>
      </c>
      <c r="AG296" s="306">
        <f t="shared" ca="1" si="143"/>
        <v>8.1311097947053241</v>
      </c>
      <c r="AH296" s="304">
        <f t="shared" ca="1" si="144"/>
        <v>17.747344520230424</v>
      </c>
    </row>
    <row r="297" spans="1:34" x14ac:dyDescent="0.2">
      <c r="A297" s="347">
        <f t="shared" ca="1" si="122"/>
        <v>0.01</v>
      </c>
      <c r="B297" s="304">
        <f t="shared" ca="1" si="123"/>
        <v>2.9299999999999815</v>
      </c>
      <c r="D297" s="306">
        <f t="shared" ca="1" si="124"/>
        <v>3.429444381664569</v>
      </c>
      <c r="E297" s="307">
        <f t="shared" ca="1" si="125"/>
        <v>7.1823107982811774</v>
      </c>
      <c r="F297" s="304">
        <f t="shared" ca="1" si="126"/>
        <v>7.9590625811107358</v>
      </c>
      <c r="G297" s="306">
        <f t="shared" ca="1" si="127"/>
        <v>59.700557021702203</v>
      </c>
      <c r="H297" s="307">
        <f t="shared" ca="1" si="128"/>
        <v>295.70795685486632</v>
      </c>
      <c r="I297" s="304">
        <f t="shared" ca="1" si="129"/>
        <v>301.67424857945866</v>
      </c>
      <c r="J297" s="306">
        <f t="shared" ca="1" si="130"/>
        <v>127.45099244824502</v>
      </c>
      <c r="K297" s="307">
        <f t="shared" ca="1" si="131"/>
        <v>661.50323398484727</v>
      </c>
      <c r="L297" s="304">
        <f t="shared" ca="1" si="116"/>
        <v>673.66926903967806</v>
      </c>
      <c r="M297" s="306">
        <f t="shared" ca="1" si="132"/>
        <v>1.3715838693489368</v>
      </c>
      <c r="N297" s="304">
        <f t="shared" ca="1" si="133"/>
        <v>78.585966961916995</v>
      </c>
      <c r="P297" s="310">
        <f t="shared" ca="1" si="134"/>
        <v>7</v>
      </c>
      <c r="Q297" s="304">
        <f t="shared" ca="1" si="135"/>
        <v>426.19148936170592</v>
      </c>
      <c r="R297" s="306">
        <f t="shared" ca="1" si="136"/>
        <v>0.21388565151583155</v>
      </c>
      <c r="S297" s="307">
        <f t="shared" ca="1" si="137"/>
        <v>5.060305269021482</v>
      </c>
      <c r="T297" s="304">
        <f t="shared" ca="1" si="117"/>
        <v>49.641594689100742</v>
      </c>
      <c r="U297" s="311">
        <f t="shared" ca="1" si="118"/>
        <v>0</v>
      </c>
      <c r="V297" s="306">
        <f t="shared" ca="1" si="119"/>
        <v>1.1465602608915157</v>
      </c>
      <c r="W297" s="304">
        <f t="shared" ca="1" si="120"/>
        <v>338.54451632032408</v>
      </c>
      <c r="Y297" s="314" t="str">
        <f t="shared" ca="1" si="138"/>
        <v/>
      </c>
      <c r="Z297" s="315" t="str">
        <f t="shared" ca="1" si="139"/>
        <v/>
      </c>
      <c r="AA297" s="316" t="str">
        <f t="shared" ca="1" si="140"/>
        <v/>
      </c>
      <c r="AC297" s="310" t="e">
        <f t="shared" ca="1" si="141"/>
        <v>#N/A</v>
      </c>
      <c r="AD297" s="323" t="e">
        <f t="shared" ca="1" si="142"/>
        <v>#N/A</v>
      </c>
      <c r="AE297" s="324">
        <f t="shared" ca="1" si="121"/>
        <v>661.50323398484727</v>
      </c>
      <c r="AG297" s="306">
        <f t="shared" ca="1" si="143"/>
        <v>7.7188177048459821</v>
      </c>
      <c r="AH297" s="304">
        <f t="shared" ca="1" si="144"/>
        <v>17.334927603895949</v>
      </c>
    </row>
    <row r="298" spans="1:34" x14ac:dyDescent="0.2">
      <c r="A298" s="347">
        <f t="shared" ca="1" si="122"/>
        <v>0.01</v>
      </c>
      <c r="B298" s="304">
        <f t="shared" ca="1" si="123"/>
        <v>2.9399999999999813</v>
      </c>
      <c r="D298" s="306">
        <f t="shared" ca="1" si="124"/>
        <v>3.3492096848796624</v>
      </c>
      <c r="E298" s="307">
        <f t="shared" ca="1" si="125"/>
        <v>6.7792581644468068</v>
      </c>
      <c r="F298" s="304">
        <f t="shared" ca="1" si="126"/>
        <v>7.561451366868031</v>
      </c>
      <c r="G298" s="306">
        <f t="shared" ca="1" si="127"/>
        <v>59.734049118550999</v>
      </c>
      <c r="H298" s="307">
        <f t="shared" ca="1" si="128"/>
        <v>295.77574943651081</v>
      </c>
      <c r="I298" s="304">
        <f t="shared" ca="1" si="129"/>
        <v>301.74732903345989</v>
      </c>
      <c r="J298" s="306">
        <f t="shared" ca="1" si="130"/>
        <v>128.04816547894629</v>
      </c>
      <c r="K298" s="307">
        <f t="shared" ca="1" si="131"/>
        <v>664.46065251630421</v>
      </c>
      <c r="L298" s="304">
        <f t="shared" ca="1" si="116"/>
        <v>676.68625774794361</v>
      </c>
      <c r="M298" s="306">
        <f t="shared" ca="1" si="132"/>
        <v>1.3715195316214721</v>
      </c>
      <c r="N298" s="304">
        <f t="shared" ca="1" si="133"/>
        <v>78.582280681669801</v>
      </c>
      <c r="P298" s="310">
        <f t="shared" ca="1" si="134"/>
        <v>7</v>
      </c>
      <c r="Q298" s="304">
        <f t="shared" ca="1" si="135"/>
        <v>424.14893617021659</v>
      </c>
      <c r="R298" s="306">
        <f t="shared" ca="1" si="136"/>
        <v>0.21286058923509071</v>
      </c>
      <c r="S298" s="307">
        <f t="shared" ca="1" si="137"/>
        <v>5.0581766631291307</v>
      </c>
      <c r="T298" s="304">
        <f t="shared" ca="1" si="117"/>
        <v>49.620713065296776</v>
      </c>
      <c r="U298" s="311">
        <f t="shared" ca="1" si="118"/>
        <v>0</v>
      </c>
      <c r="V298" s="306">
        <f t="shared" ca="1" si="119"/>
        <v>1.1462208522622772</v>
      </c>
      <c r="W298" s="304">
        <f t="shared" ca="1" si="120"/>
        <v>338.60829505936664</v>
      </c>
      <c r="Y298" s="314" t="str">
        <f t="shared" ca="1" si="138"/>
        <v/>
      </c>
      <c r="Z298" s="315" t="str">
        <f t="shared" ca="1" si="139"/>
        <v/>
      </c>
      <c r="AA298" s="316" t="str">
        <f t="shared" ca="1" si="140"/>
        <v/>
      </c>
      <c r="AC298" s="310" t="e">
        <f t="shared" ca="1" si="141"/>
        <v>#N/A</v>
      </c>
      <c r="AD298" s="323" t="e">
        <f t="shared" ca="1" si="142"/>
        <v>#N/A</v>
      </c>
      <c r="AE298" s="324">
        <f t="shared" ca="1" si="121"/>
        <v>664.46065251630421</v>
      </c>
      <c r="AG298" s="306">
        <f t="shared" ca="1" si="143"/>
        <v>7.3079829483335867</v>
      </c>
      <c r="AH298" s="304">
        <f t="shared" ca="1" si="144"/>
        <v>16.923967973260783</v>
      </c>
    </row>
    <row r="299" spans="1:34" x14ac:dyDescent="0.2">
      <c r="A299" s="347">
        <f t="shared" ca="1" si="122"/>
        <v>0.01</v>
      </c>
      <c r="B299" s="304">
        <f t="shared" ca="1" si="123"/>
        <v>2.9499999999999811</v>
      </c>
      <c r="D299" s="306">
        <f t="shared" ca="1" si="124"/>
        <v>3.2692111906212227</v>
      </c>
      <c r="E299" s="307">
        <f t="shared" ca="1" si="125"/>
        <v>6.3776417929271592</v>
      </c>
      <c r="F299" s="304">
        <f t="shared" ca="1" si="126"/>
        <v>7.1667326340372277</v>
      </c>
      <c r="G299" s="306">
        <f t="shared" ca="1" si="127"/>
        <v>59.766741230457214</v>
      </c>
      <c r="H299" s="307">
        <f t="shared" ca="1" si="128"/>
        <v>295.83952585444007</v>
      </c>
      <c r="I299" s="304">
        <f t="shared" ca="1" si="129"/>
        <v>301.81631568735372</v>
      </c>
      <c r="J299" s="306">
        <f t="shared" ca="1" si="130"/>
        <v>128.64566943069133</v>
      </c>
      <c r="K299" s="307">
        <f t="shared" ca="1" si="131"/>
        <v>667.41872889275896</v>
      </c>
      <c r="L299" s="304">
        <f t="shared" ca="1" si="116"/>
        <v>679.70395610154924</v>
      </c>
      <c r="M299" s="306">
        <f t="shared" ca="1" si="132"/>
        <v>1.3714551881016712</v>
      </c>
      <c r="N299" s="304">
        <f t="shared" ca="1" si="133"/>
        <v>78.578594069546199</v>
      </c>
      <c r="P299" s="310">
        <f t="shared" ca="1" si="134"/>
        <v>7</v>
      </c>
      <c r="Q299" s="304">
        <f t="shared" ca="1" si="135"/>
        <v>422.10638297872731</v>
      </c>
      <c r="R299" s="306">
        <f t="shared" ca="1" si="136"/>
        <v>0.21183552695434993</v>
      </c>
      <c r="S299" s="307">
        <f t="shared" ca="1" si="137"/>
        <v>5.0560583078595869</v>
      </c>
      <c r="T299" s="304">
        <f t="shared" ca="1" si="117"/>
        <v>49.599932000102548</v>
      </c>
      <c r="U299" s="311">
        <f t="shared" ca="1" si="118"/>
        <v>0</v>
      </c>
      <c r="V299" s="306">
        <f t="shared" ca="1" si="119"/>
        <v>1.1458814653035838</v>
      </c>
      <c r="W299" s="304">
        <f t="shared" ca="1" si="120"/>
        <v>338.66283556663979</v>
      </c>
      <c r="Y299" s="314" t="str">
        <f t="shared" ca="1" si="138"/>
        <v/>
      </c>
      <c r="Z299" s="315" t="str">
        <f t="shared" ca="1" si="139"/>
        <v/>
      </c>
      <c r="AA299" s="316" t="str">
        <f t="shared" ca="1" si="140"/>
        <v/>
      </c>
      <c r="AC299" s="310" t="e">
        <f t="shared" ca="1" si="141"/>
        <v>#N/A</v>
      </c>
      <c r="AD299" s="323" t="e">
        <f t="shared" ca="1" si="142"/>
        <v>#N/A</v>
      </c>
      <c r="AE299" s="324">
        <f t="shared" ca="1" si="121"/>
        <v>667.41872889275896</v>
      </c>
      <c r="AG299" s="306">
        <f t="shared" ca="1" si="143"/>
        <v>6.8986029120718459</v>
      </c>
      <c r="AH299" s="304">
        <f t="shared" ca="1" si="144"/>
        <v>16.514463013522573</v>
      </c>
    </row>
    <row r="300" spans="1:34" x14ac:dyDescent="0.2">
      <c r="A300" s="347">
        <f t="shared" ca="1" si="122"/>
        <v>0.01</v>
      </c>
      <c r="B300" s="304">
        <f t="shared" ca="1" si="123"/>
        <v>2.9599999999999809</v>
      </c>
      <c r="D300" s="306">
        <f t="shared" ca="1" si="124"/>
        <v>3.1894486484068212</v>
      </c>
      <c r="E300" s="307">
        <f t="shared" ca="1" si="125"/>
        <v>5.977458985649303</v>
      </c>
      <c r="F300" s="304">
        <f t="shared" ca="1" si="126"/>
        <v>6.7751456520095337</v>
      </c>
      <c r="G300" s="306">
        <f t="shared" ca="1" si="127"/>
        <v>59.798635716941284</v>
      </c>
      <c r="H300" s="307">
        <f t="shared" ca="1" si="128"/>
        <v>295.89930044429656</v>
      </c>
      <c r="I300" s="304">
        <f t="shared" ca="1" si="129"/>
        <v>301.88122306137478</v>
      </c>
      <c r="J300" s="306">
        <f t="shared" ca="1" si="130"/>
        <v>129.24349631542833</v>
      </c>
      <c r="K300" s="307">
        <f t="shared" ca="1" si="131"/>
        <v>670.37742302425261</v>
      </c>
      <c r="L300" s="304">
        <f t="shared" ca="1" si="116"/>
        <v>682.72232323286005</v>
      </c>
      <c r="M300" s="306">
        <f t="shared" ca="1" si="132"/>
        <v>1.3713908379210595</v>
      </c>
      <c r="N300" s="304">
        <f t="shared" ca="1" si="133"/>
        <v>78.574907075786243</v>
      </c>
      <c r="P300" s="310">
        <f t="shared" ca="1" si="134"/>
        <v>7</v>
      </c>
      <c r="Q300" s="304">
        <f t="shared" ca="1" si="135"/>
        <v>420.06382978723798</v>
      </c>
      <c r="R300" s="306">
        <f t="shared" ca="1" si="136"/>
        <v>0.21081046467360912</v>
      </c>
      <c r="S300" s="307">
        <f t="shared" ca="1" si="137"/>
        <v>5.0539502032128505</v>
      </c>
      <c r="T300" s="304">
        <f t="shared" ca="1" si="117"/>
        <v>49.579251493518065</v>
      </c>
      <c r="U300" s="311">
        <f t="shared" ca="1" si="118"/>
        <v>0</v>
      </c>
      <c r="V300" s="306">
        <f t="shared" ca="1" si="119"/>
        <v>1.1455421046361758</v>
      </c>
      <c r="W300" s="304">
        <f t="shared" ca="1" si="120"/>
        <v>338.70817363034087</v>
      </c>
      <c r="Y300" s="314" t="str">
        <f t="shared" ca="1" si="138"/>
        <v/>
      </c>
      <c r="Z300" s="315" t="str">
        <f t="shared" ca="1" si="139"/>
        <v/>
      </c>
      <c r="AA300" s="316" t="str">
        <f t="shared" ca="1" si="140"/>
        <v/>
      </c>
      <c r="AC300" s="310" t="e">
        <f t="shared" ca="1" si="141"/>
        <v>#N/A</v>
      </c>
      <c r="AD300" s="323" t="e">
        <f t="shared" ca="1" si="142"/>
        <v>#N/A</v>
      </c>
      <c r="AE300" s="324">
        <f t="shared" ca="1" si="121"/>
        <v>670.37742302425261</v>
      </c>
      <c r="AG300" s="306">
        <f t="shared" ca="1" si="143"/>
        <v>6.4906748984216609</v>
      </c>
      <c r="AH300" s="304">
        <f t="shared" ca="1" si="144"/>
        <v>16.106410025340317</v>
      </c>
    </row>
    <row r="301" spans="1:34" x14ac:dyDescent="0.2">
      <c r="A301" s="347">
        <f t="shared" ca="1" si="122"/>
        <v>0.01</v>
      </c>
      <c r="B301" s="304">
        <f t="shared" ca="1" si="123"/>
        <v>2.9699999999999807</v>
      </c>
      <c r="D301" s="306">
        <f t="shared" ca="1" si="124"/>
        <v>3.1099217891849102</v>
      </c>
      <c r="E301" s="307">
        <f t="shared" ca="1" si="125"/>
        <v>5.5787069633527704</v>
      </c>
      <c r="F301" s="304">
        <f t="shared" ca="1" si="126"/>
        <v>6.3869855892907541</v>
      </c>
      <c r="G301" s="306">
        <f t="shared" ca="1" si="127"/>
        <v>59.829734934833134</v>
      </c>
      <c r="H301" s="307">
        <f t="shared" ca="1" si="128"/>
        <v>295.9550875139301</v>
      </c>
      <c r="I301" s="304">
        <f t="shared" ca="1" si="129"/>
        <v>301.94206564794911</v>
      </c>
      <c r="J301" s="306">
        <f t="shared" ca="1" si="130"/>
        <v>129.84163816868721</v>
      </c>
      <c r="K301" s="307">
        <f t="shared" ca="1" si="131"/>
        <v>673.33669496404377</v>
      </c>
      <c r="L301" s="304">
        <f t="shared" ca="1" si="116"/>
        <v>685.74131841929284</v>
      </c>
      <c r="M301" s="306">
        <f t="shared" ca="1" si="132"/>
        <v>1.3713264802142646</v>
      </c>
      <c r="N301" s="304">
        <f t="shared" ca="1" si="133"/>
        <v>78.571219650807748</v>
      </c>
      <c r="P301" s="310">
        <f t="shared" ca="1" si="134"/>
        <v>7</v>
      </c>
      <c r="Q301" s="304">
        <f t="shared" ca="1" si="135"/>
        <v>418.02127659574865</v>
      </c>
      <c r="R301" s="306">
        <f t="shared" ca="1" si="136"/>
        <v>0.2097854023928683</v>
      </c>
      <c r="S301" s="307">
        <f t="shared" ca="1" si="137"/>
        <v>5.0518523491889216</v>
      </c>
      <c r="T301" s="304">
        <f t="shared" ca="1" si="117"/>
        <v>49.558671545543326</v>
      </c>
      <c r="U301" s="311">
        <f t="shared" ca="1" si="118"/>
        <v>0</v>
      </c>
      <c r="V301" s="306">
        <f t="shared" ca="1" si="119"/>
        <v>1.1452027748590887</v>
      </c>
      <c r="W301" s="304">
        <f t="shared" ca="1" si="120"/>
        <v>338.74434533974005</v>
      </c>
      <c r="Y301" s="314" t="str">
        <f t="shared" ca="1" si="138"/>
        <v/>
      </c>
      <c r="Z301" s="315" t="str">
        <f t="shared" ca="1" si="139"/>
        <v/>
      </c>
      <c r="AA301" s="316" t="str">
        <f t="shared" ca="1" si="140"/>
        <v/>
      </c>
      <c r="AC301" s="310" t="e">
        <f t="shared" ca="1" si="141"/>
        <v>#N/A</v>
      </c>
      <c r="AD301" s="323" t="e">
        <f t="shared" ca="1" si="142"/>
        <v>#N/A</v>
      </c>
      <c r="AE301" s="324">
        <f t="shared" ca="1" si="121"/>
        <v>673.33669496404377</v>
      </c>
      <c r="AG301" s="306">
        <f t="shared" ca="1" si="143"/>
        <v>6.0841961265210607</v>
      </c>
      <c r="AH301" s="304">
        <f t="shared" ca="1" si="144"/>
        <v>15.699806226154166</v>
      </c>
    </row>
    <row r="302" spans="1:34" x14ac:dyDescent="0.2">
      <c r="A302" s="347">
        <f t="shared" ca="1" si="122"/>
        <v>0.01</v>
      </c>
      <c r="B302" s="304">
        <f t="shared" ca="1" si="123"/>
        <v>2.9799999999999804</v>
      </c>
      <c r="D302" s="306">
        <f t="shared" ca="1" si="124"/>
        <v>2.906913668628853</v>
      </c>
      <c r="E302" s="307">
        <f t="shared" ca="1" si="125"/>
        <v>4.5694033206323255</v>
      </c>
      <c r="F302" s="304">
        <f t="shared" ca="1" si="126"/>
        <v>5.4156803620105736</v>
      </c>
      <c r="G302" s="306">
        <f t="shared" ca="1" si="127"/>
        <v>59.858804071519423</v>
      </c>
      <c r="H302" s="307">
        <f t="shared" ca="1" si="128"/>
        <v>296.0007815471364</v>
      </c>
      <c r="I302" s="304">
        <f t="shared" ca="1" si="129"/>
        <v>301.99261431595994</v>
      </c>
      <c r="J302" s="306">
        <f t="shared" ca="1" si="130"/>
        <v>130.44008086371898</v>
      </c>
      <c r="K302" s="307">
        <f t="shared" ca="1" si="131"/>
        <v>676.29647430934915</v>
      </c>
      <c r="L302" s="304">
        <f t="shared" ca="1" si="116"/>
        <v>688.76086986630537</v>
      </c>
      <c r="M302" s="306">
        <f t="shared" ca="1" si="132"/>
        <v>1.3712621127881939</v>
      </c>
      <c r="N302" s="304">
        <f t="shared" ca="1" si="133"/>
        <v>78.56753166895578</v>
      </c>
      <c r="P302" s="310">
        <f t="shared" ca="1" si="134"/>
        <v>8</v>
      </c>
      <c r="Q302" s="304">
        <f t="shared" ca="1" si="135"/>
        <v>412.82608695653812</v>
      </c>
      <c r="R302" s="306">
        <f t="shared" ca="1" si="136"/>
        <v>0.20717817876577282</v>
      </c>
      <c r="S302" s="307">
        <f t="shared" ca="1" si="137"/>
        <v>5.0497805674012639</v>
      </c>
      <c r="T302" s="304">
        <f t="shared" ca="1" si="117"/>
        <v>49.538347366206402</v>
      </c>
      <c r="U302" s="311">
        <f t="shared" ca="1" si="118"/>
        <v>0</v>
      </c>
      <c r="V302" s="306">
        <f t="shared" ca="1" si="119"/>
        <v>1.1448634840568925</v>
      </c>
      <c r="W302" s="304">
        <f t="shared" ca="1" si="120"/>
        <v>338.75738058304501</v>
      </c>
      <c r="Y302" s="314" t="str">
        <f t="shared" ca="1" si="138"/>
        <v/>
      </c>
      <c r="Z302" s="315" t="str">
        <f t="shared" ca="1" si="139"/>
        <v/>
      </c>
      <c r="AA302" s="316" t="str">
        <f t="shared" ca="1" si="140"/>
        <v/>
      </c>
      <c r="AC302" s="310" t="e">
        <f t="shared" ca="1" si="141"/>
        <v>#N/A</v>
      </c>
      <c r="AD302" s="323" t="e">
        <f t="shared" ca="1" si="142"/>
        <v>#N/A</v>
      </c>
      <c r="AE302" s="324">
        <f t="shared" ca="1" si="121"/>
        <v>676.29647430934915</v>
      </c>
      <c r="AG302" s="306">
        <f t="shared" ca="1" si="143"/>
        <v>5.0548042408116753</v>
      </c>
      <c r="AH302" s="304">
        <f t="shared" ca="1" si="144"/>
        <v>14.670289258711746</v>
      </c>
    </row>
    <row r="303" spans="1:34" x14ac:dyDescent="0.2">
      <c r="A303" s="347">
        <f t="shared" ca="1" si="122"/>
        <v>0.01</v>
      </c>
      <c r="B303" s="304">
        <f t="shared" ca="1" si="123"/>
        <v>2.9899999999999802</v>
      </c>
      <c r="D303" s="306">
        <f t="shared" ca="1" si="124"/>
        <v>2.5806980279820122</v>
      </c>
      <c r="E303" s="307">
        <f t="shared" ca="1" si="125"/>
        <v>2.9515084375413441</v>
      </c>
      <c r="F303" s="304">
        <f t="shared" ca="1" si="126"/>
        <v>3.9206382603484338</v>
      </c>
      <c r="G303" s="306">
        <f t="shared" ca="1" si="127"/>
        <v>59.88461105179924</v>
      </c>
      <c r="H303" s="307">
        <f t="shared" ca="1" si="128"/>
        <v>296.03029663151182</v>
      </c>
      <c r="I303" s="304">
        <f t="shared" ca="1" si="129"/>
        <v>302.02665969176655</v>
      </c>
      <c r="J303" s="306">
        <f t="shared" ca="1" si="130"/>
        <v>131.03879793933558</v>
      </c>
      <c r="K303" s="307">
        <f t="shared" ca="1" si="131"/>
        <v>679.25662970024234</v>
      </c>
      <c r="L303" s="304">
        <f t="shared" ca="1" si="116"/>
        <v>691.78084358929607</v>
      </c>
      <c r="M303" s="306">
        <f t="shared" ca="1" si="132"/>
        <v>1.3711977321255873</v>
      </c>
      <c r="N303" s="304">
        <f t="shared" ca="1" si="133"/>
        <v>78.563842928706165</v>
      </c>
      <c r="P303" s="310">
        <f t="shared" ca="1" si="134"/>
        <v>8</v>
      </c>
      <c r="Q303" s="304">
        <f t="shared" ca="1" si="135"/>
        <v>404.47826086958179</v>
      </c>
      <c r="R303" s="306">
        <f t="shared" ca="1" si="136"/>
        <v>0.20298879379231038</v>
      </c>
      <c r="S303" s="307">
        <f t="shared" ca="1" si="137"/>
        <v>5.0477506794633404</v>
      </c>
      <c r="T303" s="304">
        <f t="shared" ca="1" si="117"/>
        <v>49.518434165535375</v>
      </c>
      <c r="U303" s="311">
        <f t="shared" ca="1" si="118"/>
        <v>0</v>
      </c>
      <c r="V303" s="306">
        <f t="shared" ca="1" si="119"/>
        <v>1.1445242472896515</v>
      </c>
      <c r="W303" s="304">
        <f t="shared" ca="1" si="120"/>
        <v>338.73336454570898</v>
      </c>
      <c r="Y303" s="314" t="str">
        <f t="shared" ca="1" si="138"/>
        <v/>
      </c>
      <c r="Z303" s="315" t="str">
        <f t="shared" ca="1" si="139"/>
        <v/>
      </c>
      <c r="AA303" s="316" t="str">
        <f t="shared" ca="1" si="140"/>
        <v/>
      </c>
      <c r="AC303" s="310" t="e">
        <f t="shared" ca="1" si="141"/>
        <v>#N/A</v>
      </c>
      <c r="AD303" s="323" t="e">
        <f t="shared" ca="1" si="142"/>
        <v>#N/A</v>
      </c>
      <c r="AE303" s="324">
        <f t="shared" ca="1" si="121"/>
        <v>679.25662970024234</v>
      </c>
      <c r="AG303" s="306">
        <f t="shared" ca="1" si="143"/>
        <v>3.4044749876043632</v>
      </c>
      <c r="AH303" s="304">
        <f t="shared" ca="1" si="144"/>
        <v>13.019834865046068</v>
      </c>
    </row>
    <row r="304" spans="1:34" x14ac:dyDescent="0.2">
      <c r="A304" s="347">
        <f t="shared" ca="1" si="122"/>
        <v>0.01</v>
      </c>
      <c r="B304" s="304">
        <f t="shared" ca="1" si="123"/>
        <v>2.99999999999998</v>
      </c>
      <c r="D304" s="306">
        <f t="shared" ca="1" si="124"/>
        <v>2.2554482029869485</v>
      </c>
      <c r="E304" s="307">
        <f t="shared" ca="1" si="125"/>
        <v>1.3394587480864413</v>
      </c>
      <c r="F304" s="304">
        <f t="shared" ca="1" si="126"/>
        <v>2.6232034488736002</v>
      </c>
      <c r="G304" s="306">
        <f t="shared" ca="1" si="127"/>
        <v>59.907165533829108</v>
      </c>
      <c r="H304" s="307">
        <f t="shared" ca="1" si="128"/>
        <v>296.04369121899271</v>
      </c>
      <c r="I304" s="304">
        <f t="shared" ca="1" si="129"/>
        <v>302.04426098316105</v>
      </c>
      <c r="J304" s="306">
        <f t="shared" ca="1" si="130"/>
        <v>131.63775682226373</v>
      </c>
      <c r="K304" s="307">
        <f t="shared" ca="1" si="131"/>
        <v>682.21699963949482</v>
      </c>
      <c r="L304" s="304">
        <f t="shared" ca="1" si="116"/>
        <v>694.80107485402755</v>
      </c>
      <c r="M304" s="306">
        <f t="shared" ca="1" si="132"/>
        <v>1.3711333347197081</v>
      </c>
      <c r="N304" s="304">
        <f t="shared" ca="1" si="133"/>
        <v>78.560153229137697</v>
      </c>
      <c r="P304" s="310">
        <f t="shared" ca="1" si="134"/>
        <v>8</v>
      </c>
      <c r="Q304" s="304">
        <f t="shared" ca="1" si="135"/>
        <v>396.13043478262546</v>
      </c>
      <c r="R304" s="306">
        <f t="shared" ca="1" si="136"/>
        <v>0.19879940881884794</v>
      </c>
      <c r="S304" s="307">
        <f t="shared" ca="1" si="137"/>
        <v>5.045762685375152</v>
      </c>
      <c r="T304" s="304">
        <f t="shared" ca="1" si="117"/>
        <v>49.498931943530245</v>
      </c>
      <c r="U304" s="311">
        <f t="shared" ca="1" si="118"/>
        <v>0</v>
      </c>
      <c r="V304" s="306">
        <f t="shared" ca="1" si="119"/>
        <v>1.1441850830524649</v>
      </c>
      <c r="W304" s="304">
        <f t="shared" ca="1" si="120"/>
        <v>338.67245587432797</v>
      </c>
      <c r="Y304" s="314" t="str">
        <f t="shared" ca="1" si="138"/>
        <v/>
      </c>
      <c r="Z304" s="315" t="str">
        <f t="shared" ca="1" si="139"/>
        <v/>
      </c>
      <c r="AA304" s="316" t="str">
        <f t="shared" ca="1" si="140"/>
        <v/>
      </c>
      <c r="AC304" s="310">
        <f t="shared" ca="1" si="141"/>
        <v>2.99999999999998</v>
      </c>
      <c r="AD304" s="323">
        <f t="shared" ca="1" si="142"/>
        <v>131.63775682226373</v>
      </c>
      <c r="AE304" s="324">
        <f t="shared" ca="1" si="121"/>
        <v>682.21699963949482</v>
      </c>
      <c r="AG304" s="306">
        <f t="shared" ca="1" si="143"/>
        <v>1.7600665101801525</v>
      </c>
      <c r="AH304" s="304">
        <f t="shared" ca="1" si="144"/>
        <v>11.375301181579253</v>
      </c>
    </row>
    <row r="305" spans="1:34" x14ac:dyDescent="0.2">
      <c r="A305" s="347">
        <f t="shared" ca="1" si="122"/>
        <v>0.01</v>
      </c>
      <c r="B305" s="304">
        <f t="shared" ca="1" si="123"/>
        <v>3.0099999999999798</v>
      </c>
      <c r="D305" s="306">
        <f t="shared" ca="1" si="124"/>
        <v>1.9311685656537003</v>
      </c>
      <c r="E305" s="307">
        <f t="shared" ca="1" si="125"/>
        <v>-0.26672975097830864</v>
      </c>
      <c r="F305" s="304">
        <f t="shared" ca="1" si="126"/>
        <v>1.9495016771026181</v>
      </c>
      <c r="G305" s="306">
        <f t="shared" ca="1" si="127"/>
        <v>59.926477219485648</v>
      </c>
      <c r="H305" s="307">
        <f t="shared" ca="1" si="128"/>
        <v>296.04102392148292</v>
      </c>
      <c r="I305" s="304">
        <f t="shared" ca="1" si="129"/>
        <v>302.04547756325957</v>
      </c>
      <c r="J305" s="306">
        <f t="shared" ca="1" si="130"/>
        <v>132.2369250360303</v>
      </c>
      <c r="K305" s="307">
        <f t="shared" ca="1" si="131"/>
        <v>685.17742321519722</v>
      </c>
      <c r="L305" s="304">
        <f t="shared" ca="1" si="116"/>
        <v>697.82139951910483</v>
      </c>
      <c r="M305" s="306">
        <f t="shared" ca="1" si="132"/>
        <v>1.3710689170732453</v>
      </c>
      <c r="N305" s="304">
        <f t="shared" ca="1" si="133"/>
        <v>78.556462369869209</v>
      </c>
      <c r="P305" s="310">
        <f t="shared" ca="1" si="134"/>
        <v>8</v>
      </c>
      <c r="Q305" s="304">
        <f t="shared" ca="1" si="135"/>
        <v>387.78260869566913</v>
      </c>
      <c r="R305" s="306">
        <f t="shared" ca="1" si="136"/>
        <v>0.1946100238453855</v>
      </c>
      <c r="S305" s="307">
        <f t="shared" ca="1" si="137"/>
        <v>5.0438165851366978</v>
      </c>
      <c r="T305" s="304">
        <f t="shared" ca="1" si="117"/>
        <v>49.479840700191005</v>
      </c>
      <c r="U305" s="311">
        <f t="shared" ca="1" si="118"/>
        <v>0</v>
      </c>
      <c r="V305" s="306">
        <f t="shared" ca="1" si="119"/>
        <v>1.1438460097522185</v>
      </c>
      <c r="W305" s="304">
        <f t="shared" ca="1" si="120"/>
        <v>338.57481947372628</v>
      </c>
      <c r="Y305" s="314" t="str">
        <f t="shared" ca="1" si="138"/>
        <v/>
      </c>
      <c r="Z305" s="315" t="str">
        <f t="shared" ca="1" si="139"/>
        <v/>
      </c>
      <c r="AA305" s="316" t="str">
        <f t="shared" ca="1" si="140"/>
        <v/>
      </c>
      <c r="AC305" s="310" t="e">
        <f t="shared" ca="1" si="141"/>
        <v>#N/A</v>
      </c>
      <c r="AD305" s="323" t="e">
        <f t="shared" ca="1" si="142"/>
        <v>#N/A</v>
      </c>
      <c r="AE305" s="324">
        <f t="shared" ca="1" si="121"/>
        <v>685.17742321519722</v>
      </c>
      <c r="AG305" s="306">
        <f t="shared" ca="1" si="143"/>
        <v>0.12159534095848912</v>
      </c>
      <c r="AH305" s="304">
        <f t="shared" ca="1" si="144"/>
        <v>9.7367047338836112</v>
      </c>
    </row>
    <row r="306" spans="1:34" x14ac:dyDescent="0.2">
      <c r="A306" s="347">
        <f t="shared" ca="1" si="122"/>
        <v>0.01</v>
      </c>
      <c r="B306" s="304">
        <f t="shared" ca="1" si="123"/>
        <v>3.0199999999999796</v>
      </c>
      <c r="D306" s="306">
        <f t="shared" ca="1" si="124"/>
        <v>1.6078631702043567</v>
      </c>
      <c r="E306" s="307">
        <f t="shared" ca="1" si="125"/>
        <v>-1.8670425408192459</v>
      </c>
      <c r="F306" s="304">
        <f t="shared" ca="1" si="126"/>
        <v>2.4639545091840453</v>
      </c>
      <c r="G306" s="306">
        <f t="shared" ca="1" si="127"/>
        <v>59.942555851187691</v>
      </c>
      <c r="H306" s="307">
        <f t="shared" ca="1" si="128"/>
        <v>296.02235349607474</v>
      </c>
      <c r="I306" s="304">
        <f t="shared" ca="1" si="129"/>
        <v>302.03036895538798</v>
      </c>
      <c r="J306" s="306">
        <f t="shared" ca="1" si="130"/>
        <v>132.83627020138366</v>
      </c>
      <c r="K306" s="307">
        <f t="shared" ca="1" si="131"/>
        <v>688.13774010228497</v>
      </c>
      <c r="L306" s="304">
        <f t="shared" ca="1" si="116"/>
        <v>700.84165403755424</v>
      </c>
      <c r="M306" s="306">
        <f t="shared" ca="1" si="132"/>
        <v>1.3710044756972226</v>
      </c>
      <c r="N306" s="304">
        <f t="shared" ca="1" si="133"/>
        <v>78.552770150997105</v>
      </c>
      <c r="P306" s="310">
        <f t="shared" ca="1" si="134"/>
        <v>8</v>
      </c>
      <c r="Q306" s="304">
        <f t="shared" ca="1" si="135"/>
        <v>379.43478260871274</v>
      </c>
      <c r="R306" s="306">
        <f t="shared" ca="1" si="136"/>
        <v>0.19042063887192304</v>
      </c>
      <c r="S306" s="307">
        <f t="shared" ca="1" si="137"/>
        <v>5.0419123787479787</v>
      </c>
      <c r="T306" s="304">
        <f t="shared" ca="1" si="117"/>
        <v>49.461160435517677</v>
      </c>
      <c r="U306" s="311">
        <f t="shared" ca="1" si="118"/>
        <v>0</v>
      </c>
      <c r="V306" s="306">
        <f t="shared" ca="1" si="119"/>
        <v>1.1435070457075245</v>
      </c>
      <c r="W306" s="304">
        <f t="shared" ca="1" si="120"/>
        <v>338.44062638547086</v>
      </c>
      <c r="Y306" s="314" t="str">
        <f t="shared" ca="1" si="138"/>
        <v/>
      </c>
      <c r="Z306" s="315" t="str">
        <f t="shared" ca="1" si="139"/>
        <v/>
      </c>
      <c r="AA306" s="316" t="str">
        <f t="shared" ca="1" si="140"/>
        <v/>
      </c>
      <c r="AC306" s="310" t="e">
        <f t="shared" ca="1" si="141"/>
        <v>#N/A</v>
      </c>
      <c r="AD306" s="323" t="e">
        <f t="shared" ca="1" si="142"/>
        <v>#N/A</v>
      </c>
      <c r="AE306" s="324">
        <f t="shared" ca="1" si="121"/>
        <v>688.13774010228497</v>
      </c>
      <c r="AG306" s="306">
        <f t="shared" ca="1" si="143"/>
        <v>-1.5109234991019349</v>
      </c>
      <c r="AH306" s="304">
        <f t="shared" ca="1" si="144"/>
        <v>8.1040605360803415</v>
      </c>
    </row>
    <row r="307" spans="1:34" x14ac:dyDescent="0.2">
      <c r="A307" s="347">
        <f t="shared" ca="1" si="122"/>
        <v>0.01</v>
      </c>
      <c r="B307" s="304">
        <f t="shared" ca="1" si="123"/>
        <v>3.0299999999999794</v>
      </c>
      <c r="D307" s="306">
        <f t="shared" ca="1" si="124"/>
        <v>1.2855357568434449</v>
      </c>
      <c r="E307" s="307">
        <f t="shared" ca="1" si="125"/>
        <v>-3.461466560937204</v>
      </c>
      <c r="F307" s="304">
        <f t="shared" ca="1" si="126"/>
        <v>3.6924724690387989</v>
      </c>
      <c r="G307" s="306">
        <f t="shared" ca="1" si="127"/>
        <v>59.955411208756125</v>
      </c>
      <c r="H307" s="307">
        <f t="shared" ca="1" si="128"/>
        <v>295.98773883046539</v>
      </c>
      <c r="I307" s="304">
        <f t="shared" ca="1" si="129"/>
        <v>301.9989948181663</v>
      </c>
      <c r="J307" s="306">
        <f t="shared" ca="1" si="130"/>
        <v>133.43576003668338</v>
      </c>
      <c r="K307" s="307">
        <f t="shared" ca="1" si="131"/>
        <v>691.09779056391767</v>
      </c>
      <c r="L307" s="304">
        <f t="shared" ca="1" si="116"/>
        <v>703.86167545825072</v>
      </c>
      <c r="M307" s="306">
        <f t="shared" ca="1" si="132"/>
        <v>1.3709400071099165</v>
      </c>
      <c r="N307" s="304">
        <f t="shared" ca="1" si="133"/>
        <v>78.549076373033287</v>
      </c>
      <c r="P307" s="310">
        <f t="shared" ca="1" si="134"/>
        <v>8</v>
      </c>
      <c r="Q307" s="304">
        <f t="shared" ca="1" si="135"/>
        <v>371.08695652175641</v>
      </c>
      <c r="R307" s="306">
        <f t="shared" ca="1" si="136"/>
        <v>0.1862312538984606</v>
      </c>
      <c r="S307" s="307">
        <f t="shared" ca="1" si="137"/>
        <v>5.0400500662089938</v>
      </c>
      <c r="T307" s="304">
        <f t="shared" ca="1" si="117"/>
        <v>49.442891149510231</v>
      </c>
      <c r="U307" s="311">
        <f t="shared" ca="1" si="118"/>
        <v>0</v>
      </c>
      <c r="V307" s="306">
        <f t="shared" ca="1" si="119"/>
        <v>1.1431682091486817</v>
      </c>
      <c r="W307" s="304">
        <f t="shared" ca="1" si="120"/>
        <v>338.27005366709898</v>
      </c>
      <c r="Y307" s="314" t="str">
        <f t="shared" ca="1" si="138"/>
        <v/>
      </c>
      <c r="Z307" s="315" t="str">
        <f t="shared" ca="1" si="139"/>
        <v/>
      </c>
      <c r="AA307" s="316" t="str">
        <f t="shared" ca="1" si="140"/>
        <v/>
      </c>
      <c r="AC307" s="310" t="e">
        <f t="shared" ca="1" si="141"/>
        <v>#N/A</v>
      </c>
      <c r="AD307" s="323" t="e">
        <f t="shared" ca="1" si="142"/>
        <v>#N/A</v>
      </c>
      <c r="AE307" s="324">
        <f t="shared" ca="1" si="121"/>
        <v>691.09779056391767</v>
      </c>
      <c r="AG307" s="306">
        <f t="shared" ca="1" si="143"/>
        <v>-3.1374764805630457</v>
      </c>
      <c r="AH307" s="304">
        <f t="shared" ca="1" si="144"/>
        <v>6.4773821107775893</v>
      </c>
    </row>
    <row r="308" spans="1:34" x14ac:dyDescent="0.2">
      <c r="A308" s="347">
        <f t="shared" ca="1" si="122"/>
        <v>0.01</v>
      </c>
      <c r="B308" s="304">
        <f t="shared" ca="1" si="123"/>
        <v>3.0399999999999792</v>
      </c>
      <c r="D308" s="306">
        <f t="shared" ca="1" si="124"/>
        <v>0.96418975554301545</v>
      </c>
      <c r="E308" s="307">
        <f t="shared" ca="1" si="125"/>
        <v>-5.0499901894927381</v>
      </c>
      <c r="F308" s="304">
        <f t="shared" ca="1" si="126"/>
        <v>5.1412121915621221</v>
      </c>
      <c r="G308" s="306">
        <f t="shared" ca="1" si="127"/>
        <v>59.965053106311558</v>
      </c>
      <c r="H308" s="307">
        <f t="shared" ca="1" si="128"/>
        <v>295.93723892857048</v>
      </c>
      <c r="I308" s="304">
        <f t="shared" ca="1" si="129"/>
        <v>301.9514149307941</v>
      </c>
      <c r="J308" s="306">
        <f t="shared" ca="1" si="130"/>
        <v>134.03536235825871</v>
      </c>
      <c r="K308" s="307">
        <f t="shared" ca="1" si="131"/>
        <v>694.0574154527128</v>
      </c>
      <c r="L308" s="304">
        <f t="shared" ca="1" si="116"/>
        <v>706.88130142719808</v>
      </c>
      <c r="M308" s="306">
        <f t="shared" ca="1" si="132"/>
        <v>1.3708755078357824</v>
      </c>
      <c r="N308" s="304">
        <f t="shared" ca="1" si="133"/>
        <v>78.545380836843748</v>
      </c>
      <c r="P308" s="310">
        <f t="shared" ca="1" si="134"/>
        <v>8</v>
      </c>
      <c r="Q308" s="304">
        <f t="shared" ca="1" si="135"/>
        <v>362.73913043480007</v>
      </c>
      <c r="R308" s="306">
        <f t="shared" ca="1" si="136"/>
        <v>0.18204186892499816</v>
      </c>
      <c r="S308" s="307">
        <f t="shared" ca="1" si="137"/>
        <v>5.0382296475197439</v>
      </c>
      <c r="T308" s="304">
        <f t="shared" ca="1" si="117"/>
        <v>49.42503284216869</v>
      </c>
      <c r="U308" s="311">
        <f t="shared" ca="1" si="118"/>
        <v>0</v>
      </c>
      <c r="V308" s="306">
        <f t="shared" ca="1" si="119"/>
        <v>1.1428295182176607</v>
      </c>
      <c r="W308" s="304">
        <f t="shared" ca="1" si="120"/>
        <v>338.063284272109</v>
      </c>
      <c r="Y308" s="314" t="str">
        <f t="shared" ca="1" si="138"/>
        <v/>
      </c>
      <c r="Z308" s="315" t="str">
        <f t="shared" ca="1" si="139"/>
        <v/>
      </c>
      <c r="AA308" s="316" t="str">
        <f t="shared" ca="1" si="140"/>
        <v/>
      </c>
      <c r="AC308" s="310" t="e">
        <f t="shared" ca="1" si="141"/>
        <v>#N/A</v>
      </c>
      <c r="AD308" s="323" t="e">
        <f t="shared" ca="1" si="142"/>
        <v>#N/A</v>
      </c>
      <c r="AE308" s="324">
        <f t="shared" ca="1" si="121"/>
        <v>694.0574154527128</v>
      </c>
      <c r="AG308" s="306">
        <f t="shared" ca="1" si="143"/>
        <v>-4.7580515454772021</v>
      </c>
      <c r="AH308" s="304">
        <f t="shared" ca="1" si="144"/>
        <v>4.8566815090985207</v>
      </c>
    </row>
    <row r="309" spans="1:34" x14ac:dyDescent="0.2">
      <c r="A309" s="347">
        <f t="shared" ca="1" si="122"/>
        <v>0.01</v>
      </c>
      <c r="B309" s="304">
        <f t="shared" ca="1" si="123"/>
        <v>3.049999999999979</v>
      </c>
      <c r="D309" s="306">
        <f t="shared" ca="1" si="124"/>
        <v>0.64382828983995644</v>
      </c>
      <c r="E309" s="307">
        <f t="shared" ca="1" si="125"/>
        <v>-6.6326032235551242</v>
      </c>
      <c r="F309" s="304">
        <f t="shared" ca="1" si="126"/>
        <v>6.6637782366996632</v>
      </c>
      <c r="G309" s="306">
        <f t="shared" ca="1" si="127"/>
        <v>59.971491389209959</v>
      </c>
      <c r="H309" s="307">
        <f t="shared" ca="1" si="128"/>
        <v>295.87091289633491</v>
      </c>
      <c r="I309" s="304">
        <f t="shared" ca="1" si="129"/>
        <v>301.88768917853656</v>
      </c>
      <c r="J309" s="306">
        <f t="shared" ca="1" si="130"/>
        <v>134.63504508073632</v>
      </c>
      <c r="K309" s="307">
        <f t="shared" ca="1" si="131"/>
        <v>697.01645621183729</v>
      </c>
      <c r="L309" s="304">
        <f t="shared" ca="1" si="116"/>
        <v>709.90037018866246</v>
      </c>
      <c r="M309" s="306">
        <f t="shared" ca="1" si="132"/>
        <v>1.3708109744043848</v>
      </c>
      <c r="N309" s="304">
        <f t="shared" ca="1" si="133"/>
        <v>78.541683343587167</v>
      </c>
      <c r="P309" s="310">
        <f t="shared" ca="1" si="134"/>
        <v>8</v>
      </c>
      <c r="Q309" s="304">
        <f t="shared" ca="1" si="135"/>
        <v>354.39130434784374</v>
      </c>
      <c r="R309" s="306">
        <f t="shared" ca="1" si="136"/>
        <v>0.17785248395153572</v>
      </c>
      <c r="S309" s="307">
        <f t="shared" ca="1" si="137"/>
        <v>5.0364511226802282</v>
      </c>
      <c r="T309" s="304">
        <f t="shared" ca="1" si="117"/>
        <v>49.407585513493039</v>
      </c>
      <c r="U309" s="311">
        <f t="shared" ca="1" si="118"/>
        <v>0</v>
      </c>
      <c r="V309" s="306">
        <f t="shared" ca="1" si="119"/>
        <v>1.1424909909680985</v>
      </c>
      <c r="W309" s="304">
        <f t="shared" ca="1" si="120"/>
        <v>337.82050693074831</v>
      </c>
      <c r="Y309" s="314" t="str">
        <f t="shared" ca="1" si="138"/>
        <v/>
      </c>
      <c r="Z309" s="315" t="str">
        <f t="shared" ca="1" si="139"/>
        <v/>
      </c>
      <c r="AA309" s="316" t="str">
        <f t="shared" ca="1" si="140"/>
        <v/>
      </c>
      <c r="AC309" s="310" t="e">
        <f t="shared" ca="1" si="141"/>
        <v>#N/A</v>
      </c>
      <c r="AD309" s="323" t="e">
        <f t="shared" ca="1" si="142"/>
        <v>#N/A</v>
      </c>
      <c r="AE309" s="324">
        <f t="shared" ca="1" si="121"/>
        <v>697.01645621183729</v>
      </c>
      <c r="AG309" s="306">
        <f t="shared" ca="1" si="143"/>
        <v>-6.3726380872799187</v>
      </c>
      <c r="AH309" s="304">
        <f t="shared" ca="1" si="144"/>
        <v>3.2419693307865409</v>
      </c>
    </row>
    <row r="310" spans="1:34" x14ac:dyDescent="0.2">
      <c r="A310" s="347">
        <f t="shared" ca="1" si="122"/>
        <v>0.01</v>
      </c>
      <c r="B310" s="304">
        <f t="shared" ca="1" si="123"/>
        <v>3.0599999999999787</v>
      </c>
      <c r="D310" s="306">
        <f t="shared" ca="1" si="124"/>
        <v>0.32445418064361109</v>
      </c>
      <c r="E310" s="307">
        <f t="shared" ca="1" si="125"/>
        <v>-8.2092968592852227</v>
      </c>
      <c r="F310" s="304">
        <f t="shared" ca="1" si="126"/>
        <v>8.2157060219561977</v>
      </c>
      <c r="G310" s="306">
        <f t="shared" ca="1" si="127"/>
        <v>59.974735931016397</v>
      </c>
      <c r="H310" s="307">
        <f t="shared" ca="1" si="128"/>
        <v>295.78881992774205</v>
      </c>
      <c r="I310" s="304">
        <f t="shared" ca="1" si="129"/>
        <v>301.80787753841247</v>
      </c>
      <c r="J310" s="306">
        <f t="shared" ca="1" si="130"/>
        <v>135.23477621733744</v>
      </c>
      <c r="K310" s="307">
        <f t="shared" ca="1" si="131"/>
        <v>699.97475487595773</v>
      </c>
      <c r="L310" s="304">
        <f t="shared" ca="1" si="116"/>
        <v>712.91872058616218</v>
      </c>
      <c r="M310" s="306">
        <f t="shared" ca="1" si="132"/>
        <v>1.3707464033493353</v>
      </c>
      <c r="N310" s="304">
        <f t="shared" ca="1" si="133"/>
        <v>78.537983694654116</v>
      </c>
      <c r="P310" s="310">
        <f t="shared" ca="1" si="134"/>
        <v>8</v>
      </c>
      <c r="Q310" s="304">
        <f t="shared" ca="1" si="135"/>
        <v>346.04347826088735</v>
      </c>
      <c r="R310" s="306">
        <f t="shared" ca="1" si="136"/>
        <v>0.17366309897807322</v>
      </c>
      <c r="S310" s="307">
        <f t="shared" ca="1" si="137"/>
        <v>5.0347144916904476</v>
      </c>
      <c r="T310" s="304">
        <f t="shared" ca="1" si="117"/>
        <v>49.390549163483293</v>
      </c>
      <c r="U310" s="311">
        <f t="shared" ca="1" si="118"/>
        <v>0</v>
      </c>
      <c r="V310" s="306">
        <f t="shared" ca="1" si="119"/>
        <v>1.1421526453653217</v>
      </c>
      <c r="W310" s="304">
        <f t="shared" ca="1" si="120"/>
        <v>337.54191603164838</v>
      </c>
      <c r="Y310" s="314" t="str">
        <f t="shared" ca="1" si="138"/>
        <v/>
      </c>
      <c r="Z310" s="315" t="str">
        <f t="shared" ca="1" si="139"/>
        <v/>
      </c>
      <c r="AA310" s="316" t="str">
        <f t="shared" ca="1" si="140"/>
        <v/>
      </c>
      <c r="AC310" s="310" t="e">
        <f t="shared" ca="1" si="141"/>
        <v>#N/A</v>
      </c>
      <c r="AD310" s="323" t="e">
        <f t="shared" ca="1" si="142"/>
        <v>#N/A</v>
      </c>
      <c r="AE310" s="324">
        <f t="shared" ca="1" si="121"/>
        <v>699.97475487595773</v>
      </c>
      <c r="AG310" s="306">
        <f t="shared" ca="1" si="143"/>
        <v>-7.9812269306156836</v>
      </c>
      <c r="AH310" s="304">
        <f t="shared" ca="1" si="144"/>
        <v>1.6332547443773946</v>
      </c>
    </row>
    <row r="311" spans="1:34" x14ac:dyDescent="0.2">
      <c r="A311" s="347">
        <f t="shared" ca="1" si="122"/>
        <v>0.01</v>
      </c>
      <c r="B311" s="304">
        <f t="shared" ca="1" si="123"/>
        <v>3.0699999999999785</v>
      </c>
      <c r="D311" s="306">
        <f t="shared" ca="1" si="124"/>
        <v>6.0699500511159025E-3</v>
      </c>
      <c r="E311" s="307">
        <f t="shared" ca="1" si="125"/>
        <v>-9.7800636720651006</v>
      </c>
      <c r="F311" s="304">
        <f t="shared" ca="1" si="126"/>
        <v>9.7800655557077487</v>
      </c>
      <c r="G311" s="306">
        <f t="shared" ca="1" si="127"/>
        <v>59.974796630516906</v>
      </c>
      <c r="H311" s="307">
        <f t="shared" ca="1" si="128"/>
        <v>295.69101929102141</v>
      </c>
      <c r="I311" s="304">
        <f t="shared" ca="1" si="129"/>
        <v>301.71204006508435</v>
      </c>
      <c r="J311" s="306">
        <f t="shared" ca="1" si="130"/>
        <v>135.8345238801451</v>
      </c>
      <c r="K311" s="307">
        <f t="shared" ca="1" si="131"/>
        <v>702.9321540720515</v>
      </c>
      <c r="L311" s="304">
        <f t="shared" ca="1" si="116"/>
        <v>715.93619206331516</v>
      </c>
      <c r="M311" s="306">
        <f t="shared" ca="1" si="132"/>
        <v>1.3706817912072333</v>
      </c>
      <c r="N311" s="304">
        <f t="shared" ca="1" si="133"/>
        <v>78.534281691606381</v>
      </c>
      <c r="P311" s="310">
        <f t="shared" ca="1" si="134"/>
        <v>8</v>
      </c>
      <c r="Q311" s="304">
        <f t="shared" ca="1" si="135"/>
        <v>337.69565217393102</v>
      </c>
      <c r="R311" s="306">
        <f t="shared" ca="1" si="136"/>
        <v>0.16947371400461078</v>
      </c>
      <c r="S311" s="307">
        <f t="shared" ca="1" si="137"/>
        <v>5.0330197545504012</v>
      </c>
      <c r="T311" s="304">
        <f t="shared" ca="1" si="117"/>
        <v>49.373923792139436</v>
      </c>
      <c r="U311" s="311">
        <f t="shared" ca="1" si="118"/>
        <v>0</v>
      </c>
      <c r="V311" s="306">
        <f t="shared" ca="1" si="119"/>
        <v>1.141814499286383</v>
      </c>
      <c r="W311" s="304">
        <f t="shared" ca="1" si="120"/>
        <v>337.22771150433988</v>
      </c>
      <c r="Y311" s="314" t="str">
        <f t="shared" ca="1" si="138"/>
        <v/>
      </c>
      <c r="Z311" s="315" t="str">
        <f t="shared" ca="1" si="139"/>
        <v/>
      </c>
      <c r="AA311" s="316" t="str">
        <f t="shared" ca="1" si="140"/>
        <v/>
      </c>
      <c r="AC311" s="310" t="e">
        <f t="shared" ca="1" si="141"/>
        <v>#N/A</v>
      </c>
      <c r="AD311" s="323" t="e">
        <f t="shared" ca="1" si="142"/>
        <v>#N/A</v>
      </c>
      <c r="AE311" s="324">
        <f t="shared" ca="1" si="121"/>
        <v>702.9321540720515</v>
      </c>
      <c r="AG311" s="306">
        <f t="shared" ca="1" si="143"/>
        <v>-9.5838103111100814</v>
      </c>
      <c r="AH311" s="304">
        <f t="shared" ca="1" si="144"/>
        <v>3.0545507424969871E-2</v>
      </c>
    </row>
    <row r="312" spans="1:34" x14ac:dyDescent="0.2">
      <c r="A312" s="347">
        <f t="shared" ca="1" si="122"/>
        <v>0.01</v>
      </c>
      <c r="B312" s="304">
        <f t="shared" ca="1" si="123"/>
        <v>3.0799999999999783</v>
      </c>
      <c r="D312" s="306">
        <f t="shared" ca="1" si="124"/>
        <v>-0.3113221748314674</v>
      </c>
      <c r="E312" s="307">
        <f t="shared" ca="1" si="125"/>
        <v>-11.344897596584326</v>
      </c>
      <c r="F312" s="304">
        <f t="shared" ca="1" si="126"/>
        <v>11.349168382464269</v>
      </c>
      <c r="G312" s="306">
        <f t="shared" ca="1" si="127"/>
        <v>59.971683408768591</v>
      </c>
      <c r="H312" s="307">
        <f t="shared" ca="1" si="128"/>
        <v>295.57757031505554</v>
      </c>
      <c r="I312" s="304">
        <f t="shared" ca="1" si="129"/>
        <v>301.60023687695133</v>
      </c>
      <c r="J312" s="306">
        <f t="shared" ca="1" si="130"/>
        <v>136.43425628034151</v>
      </c>
      <c r="K312" s="307">
        <f t="shared" ca="1" si="131"/>
        <v>705.8884970200819</v>
      </c>
      <c r="L312" s="304">
        <f t="shared" ca="1" si="116"/>
        <v>718.95262466454642</v>
      </c>
      <c r="M312" s="306">
        <f t="shared" ca="1" si="132"/>
        <v>1.3706171345166118</v>
      </c>
      <c r="N312" s="304">
        <f t="shared" ca="1" si="133"/>
        <v>78.530577136116491</v>
      </c>
      <c r="P312" s="310">
        <f t="shared" ca="1" si="134"/>
        <v>8</v>
      </c>
      <c r="Q312" s="304">
        <f t="shared" ca="1" si="135"/>
        <v>329.34782608697469</v>
      </c>
      <c r="R312" s="306">
        <f t="shared" ca="1" si="136"/>
        <v>0.16528432903114834</v>
      </c>
      <c r="S312" s="307">
        <f t="shared" ca="1" si="137"/>
        <v>5.0313669112600898</v>
      </c>
      <c r="T312" s="304">
        <f t="shared" ca="1" si="117"/>
        <v>49.357709399461484</v>
      </c>
      <c r="U312" s="311">
        <f t="shared" ca="1" si="118"/>
        <v>0</v>
      </c>
      <c r="V312" s="306">
        <f t="shared" ca="1" si="119"/>
        <v>1.141476570520116</v>
      </c>
      <c r="W312" s="304">
        <f t="shared" ca="1" si="120"/>
        <v>336.87809870268887</v>
      </c>
      <c r="Y312" s="314" t="str">
        <f t="shared" ca="1" si="138"/>
        <v/>
      </c>
      <c r="Z312" s="315" t="str">
        <f t="shared" ca="1" si="139"/>
        <v/>
      </c>
      <c r="AA312" s="316" t="str">
        <f t="shared" ca="1" si="140"/>
        <v/>
      </c>
      <c r="AC312" s="310" t="e">
        <f t="shared" ca="1" si="141"/>
        <v>#N/A</v>
      </c>
      <c r="AD312" s="323" t="e">
        <f t="shared" ca="1" si="142"/>
        <v>#N/A</v>
      </c>
      <c r="AE312" s="324">
        <f t="shared" ca="1" si="121"/>
        <v>705.8884970200819</v>
      </c>
      <c r="AG312" s="306">
        <f t="shared" ca="1" si="143"/>
        <v>-11.18038185509832</v>
      </c>
      <c r="AH312" s="304">
        <f t="shared" ca="1" si="144"/>
        <v>-1.5661520132292828</v>
      </c>
    </row>
    <row r="313" spans="1:34" x14ac:dyDescent="0.2">
      <c r="A313" s="347">
        <f t="shared" ca="1" si="122"/>
        <v>0.01</v>
      </c>
      <c r="B313" s="304">
        <f t="shared" ca="1" si="123"/>
        <v>3.0899999999999781</v>
      </c>
      <c r="D313" s="306">
        <f t="shared" ca="1" si="124"/>
        <v>-0.62772025806445708</v>
      </c>
      <c r="E313" s="307">
        <f t="shared" ca="1" si="125"/>
        <v>-12.903793906894126</v>
      </c>
      <c r="F313" s="304">
        <f t="shared" ca="1" si="126"/>
        <v>12.919052980539343</v>
      </c>
      <c r="G313" s="306">
        <f t="shared" ca="1" si="127"/>
        <v>59.96540620618795</v>
      </c>
      <c r="H313" s="307">
        <f t="shared" ca="1" si="128"/>
        <v>295.44853237598659</v>
      </c>
      <c r="I313" s="304">
        <f t="shared" ca="1" si="129"/>
        <v>301.47252814244536</v>
      </c>
      <c r="J313" s="306">
        <f t="shared" ca="1" si="130"/>
        <v>137.03394172841629</v>
      </c>
      <c r="K313" s="307">
        <f t="shared" ca="1" si="131"/>
        <v>708.84362753353707</v>
      </c>
      <c r="L313" s="304">
        <f t="shared" ca="1" si="116"/>
        <v>721.9678590356574</v>
      </c>
      <c r="M313" s="306">
        <f t="shared" ca="1" si="132"/>
        <v>1.3705524298168854</v>
      </c>
      <c r="N313" s="304">
        <f t="shared" ca="1" si="133"/>
        <v>78.526869829907497</v>
      </c>
      <c r="P313" s="310">
        <f t="shared" ca="1" si="134"/>
        <v>8</v>
      </c>
      <c r="Q313" s="304">
        <f t="shared" ca="1" si="135"/>
        <v>321.00000000001836</v>
      </c>
      <c r="R313" s="306">
        <f t="shared" ca="1" si="136"/>
        <v>0.1610949440576859</v>
      </c>
      <c r="S313" s="307">
        <f t="shared" ca="1" si="137"/>
        <v>5.0297559618195127</v>
      </c>
      <c r="T313" s="304">
        <f t="shared" ca="1" si="117"/>
        <v>49.341905985449422</v>
      </c>
      <c r="U313" s="311">
        <f t="shared" ca="1" si="118"/>
        <v>0</v>
      </c>
      <c r="V313" s="306">
        <f t="shared" ca="1" si="119"/>
        <v>1.1411388767672102</v>
      </c>
      <c r="W313" s="304">
        <f t="shared" ca="1" si="120"/>
        <v>336.49328828929214</v>
      </c>
      <c r="Y313" s="314" t="str">
        <f t="shared" ca="1" si="138"/>
        <v/>
      </c>
      <c r="Z313" s="315" t="str">
        <f t="shared" ca="1" si="139"/>
        <v/>
      </c>
      <c r="AA313" s="316" t="str">
        <f t="shared" ca="1" si="140"/>
        <v/>
      </c>
      <c r="AC313" s="310" t="e">
        <f t="shared" ca="1" si="141"/>
        <v>#N/A</v>
      </c>
      <c r="AD313" s="323" t="e">
        <f t="shared" ca="1" si="142"/>
        <v>#N/A</v>
      </c>
      <c r="AE313" s="324">
        <f t="shared" ca="1" si="121"/>
        <v>708.84362753353707</v>
      </c>
      <c r="AG313" s="306">
        <f t="shared" ca="1" si="143"/>
        <v>-12.770936559321543</v>
      </c>
      <c r="AH313" s="304">
        <f t="shared" ca="1" si="144"/>
        <v>-3.1568328211547296</v>
      </c>
    </row>
    <row r="314" spans="1:34" x14ac:dyDescent="0.2">
      <c r="A314" s="347">
        <f t="shared" ca="1" si="122"/>
        <v>0.01</v>
      </c>
      <c r="B314" s="304">
        <f t="shared" ca="1" si="123"/>
        <v>3.0999999999999779</v>
      </c>
      <c r="D314" s="306">
        <f t="shared" ca="1" si="124"/>
        <v>-0.94312265104847848</v>
      </c>
      <c r="E314" s="307">
        <f t="shared" ca="1" si="125"/>
        <v>-14.456749196440343</v>
      </c>
      <c r="F314" s="304">
        <f t="shared" ca="1" si="126"/>
        <v>14.487480031520292</v>
      </c>
      <c r="G314" s="306">
        <f t="shared" ca="1" si="127"/>
        <v>59.955974979677464</v>
      </c>
      <c r="H314" s="307">
        <f t="shared" ca="1" si="128"/>
        <v>295.30396488402221</v>
      </c>
      <c r="I314" s="304">
        <f t="shared" ca="1" si="129"/>
        <v>301.32897406653001</v>
      </c>
      <c r="J314" s="306">
        <f t="shared" ca="1" si="130"/>
        <v>137.63354863434563</v>
      </c>
      <c r="K314" s="307">
        <f t="shared" ca="1" si="131"/>
        <v>711.79739001983717</v>
      </c>
      <c r="L314" s="304">
        <f t="shared" ca="1" si="116"/>
        <v>724.98173642425991</v>
      </c>
      <c r="M314" s="306">
        <f t="shared" ca="1" si="132"/>
        <v>1.3704876736473011</v>
      </c>
      <c r="N314" s="304">
        <f t="shared" ca="1" si="133"/>
        <v>78.523159574692883</v>
      </c>
      <c r="P314" s="310">
        <f t="shared" ca="1" si="134"/>
        <v>8</v>
      </c>
      <c r="Q314" s="304">
        <f t="shared" ca="1" si="135"/>
        <v>312.65217391306203</v>
      </c>
      <c r="R314" s="306">
        <f t="shared" ca="1" si="136"/>
        <v>0.15690555908422346</v>
      </c>
      <c r="S314" s="307">
        <f t="shared" ca="1" si="137"/>
        <v>5.0281869062286706</v>
      </c>
      <c r="T314" s="304">
        <f t="shared" ca="1" si="117"/>
        <v>49.326513550103265</v>
      </c>
      <c r="U314" s="311">
        <f t="shared" ca="1" si="118"/>
        <v>0</v>
      </c>
      <c r="V314" s="306">
        <f t="shared" ca="1" si="119"/>
        <v>1.1408014356403025</v>
      </c>
      <c r="W314" s="304">
        <f t="shared" ca="1" si="120"/>
        <v>336.07349612086193</v>
      </c>
      <c r="Y314" s="314" t="str">
        <f t="shared" ca="1" si="138"/>
        <v/>
      </c>
      <c r="Z314" s="315" t="str">
        <f t="shared" ca="1" si="139"/>
        <v/>
      </c>
      <c r="AA314" s="316" t="str">
        <f t="shared" ca="1" si="140"/>
        <v/>
      </c>
      <c r="AC314" s="310" t="e">
        <f t="shared" ca="1" si="141"/>
        <v>#N/A</v>
      </c>
      <c r="AD314" s="323" t="e">
        <f t="shared" ca="1" si="142"/>
        <v>#N/A</v>
      </c>
      <c r="AE314" s="324">
        <f t="shared" ca="1" si="121"/>
        <v>711.79739001983717</v>
      </c>
      <c r="AG314" s="306">
        <f t="shared" ca="1" si="143"/>
        <v>-14.355470770602127</v>
      </c>
      <c r="AH314" s="304">
        <f t="shared" ca="1" si="144"/>
        <v>-4.741493270008899</v>
      </c>
    </row>
    <row r="315" spans="1:34" x14ac:dyDescent="0.2">
      <c r="A315" s="347">
        <f t="shared" ca="1" si="122"/>
        <v>0.01</v>
      </c>
      <c r="B315" s="304">
        <f t="shared" ca="1" si="123"/>
        <v>3.1099999999999777</v>
      </c>
      <c r="D315" s="306">
        <f t="shared" ca="1" si="124"/>
        <v>-1.257527988698881</v>
      </c>
      <c r="E315" s="307">
        <f t="shared" ca="1" si="125"/>
        <v>-16.003761358084535</v>
      </c>
      <c r="F315" s="304">
        <f t="shared" ca="1" si="126"/>
        <v>16.053091734892718</v>
      </c>
      <c r="G315" s="306">
        <f t="shared" ca="1" si="127"/>
        <v>59.943399699790476</v>
      </c>
      <c r="H315" s="307">
        <f t="shared" ca="1" si="128"/>
        <v>295.14392727044134</v>
      </c>
      <c r="I315" s="304">
        <f t="shared" ca="1" si="129"/>
        <v>301.16963487740327</v>
      </c>
      <c r="J315" s="306">
        <f t="shared" ca="1" si="130"/>
        <v>138.23304550774296</v>
      </c>
      <c r="K315" s="307">
        <f t="shared" ca="1" si="131"/>
        <v>714.74962948060943</v>
      </c>
      <c r="L315" s="304">
        <f t="shared" ca="1" si="116"/>
        <v>727.99409868007456</v>
      </c>
      <c r="M315" s="306">
        <f t="shared" ca="1" si="132"/>
        <v>1.3704228625458896</v>
      </c>
      <c r="N315" s="304">
        <f t="shared" ca="1" si="133"/>
        <v>78.519446172116417</v>
      </c>
      <c r="P315" s="310">
        <f t="shared" ca="1" si="134"/>
        <v>8</v>
      </c>
      <c r="Q315" s="304">
        <f t="shared" ca="1" si="135"/>
        <v>304.30434782610564</v>
      </c>
      <c r="R315" s="306">
        <f t="shared" ca="1" si="136"/>
        <v>0.15271617411076099</v>
      </c>
      <c r="S315" s="307">
        <f t="shared" ca="1" si="137"/>
        <v>5.0266597444875627</v>
      </c>
      <c r="T315" s="304">
        <f t="shared" ca="1" si="117"/>
        <v>49.31153209342299</v>
      </c>
      <c r="U315" s="311">
        <f t="shared" ca="1" si="118"/>
        <v>0</v>
      </c>
      <c r="V315" s="306">
        <f t="shared" ca="1" si="119"/>
        <v>1.1404642646640863</v>
      </c>
      <c r="W315" s="304">
        <f t="shared" ca="1" si="120"/>
        <v>335.61894313463972</v>
      </c>
      <c r="Y315" s="314" t="str">
        <f t="shared" ca="1" si="138"/>
        <v/>
      </c>
      <c r="Z315" s="315" t="str">
        <f t="shared" ca="1" si="139"/>
        <v/>
      </c>
      <c r="AA315" s="316" t="str">
        <f t="shared" ca="1" si="140"/>
        <v/>
      </c>
      <c r="AC315" s="310" t="e">
        <f t="shared" ca="1" si="141"/>
        <v>#N/A</v>
      </c>
      <c r="AD315" s="323" t="e">
        <f t="shared" ca="1" si="142"/>
        <v>#N/A</v>
      </c>
      <c r="AE315" s="324">
        <f t="shared" ca="1" si="121"/>
        <v>714.74962948060943</v>
      </c>
      <c r="AG315" s="306">
        <f t="shared" ca="1" si="143"/>
        <v>-15.93398216550743</v>
      </c>
      <c r="AH315" s="304">
        <f t="shared" ca="1" si="144"/>
        <v>-6.3201310432033155</v>
      </c>
    </row>
    <row r="316" spans="1:34" x14ac:dyDescent="0.2">
      <c r="A316" s="347">
        <f t="shared" ca="1" si="122"/>
        <v>0.01</v>
      </c>
      <c r="B316" s="304">
        <f t="shared" ca="1" si="123"/>
        <v>3.1199999999999775</v>
      </c>
      <c r="D316" s="306">
        <f t="shared" ca="1" si="124"/>
        <v>-1.5709351856228886</v>
      </c>
      <c r="E316" s="307">
        <f t="shared" ca="1" si="125"/>
        <v>-17.544829564124299</v>
      </c>
      <c r="F316" s="304">
        <f t="shared" ca="1" si="126"/>
        <v>17.615018642953466</v>
      </c>
      <c r="G316" s="306">
        <f t="shared" ca="1" si="127"/>
        <v>59.927690347934245</v>
      </c>
      <c r="H316" s="307">
        <f t="shared" ca="1" si="128"/>
        <v>294.96847897480012</v>
      </c>
      <c r="I316" s="304">
        <f t="shared" ca="1" si="129"/>
        <v>300.99457081340353</v>
      </c>
      <c r="J316" s="306">
        <f t="shared" ca="1" si="130"/>
        <v>138.83240095798158</v>
      </c>
      <c r="K316" s="307">
        <f t="shared" ca="1" si="131"/>
        <v>717.70019151183567</v>
      </c>
      <c r="L316" s="304">
        <f t="shared" ca="1" si="116"/>
        <v>731.00478825509981</v>
      </c>
      <c r="M316" s="306">
        <f t="shared" ca="1" si="132"/>
        <v>1.3703579930484198</v>
      </c>
      <c r="N316" s="304">
        <f t="shared" ca="1" si="133"/>
        <v>78.515729423692264</v>
      </c>
      <c r="P316" s="310">
        <f t="shared" ca="1" si="134"/>
        <v>8</v>
      </c>
      <c r="Q316" s="304">
        <f t="shared" ca="1" si="135"/>
        <v>295.95652173914931</v>
      </c>
      <c r="R316" s="306">
        <f t="shared" ca="1" si="136"/>
        <v>0.14852678913729855</v>
      </c>
      <c r="S316" s="307">
        <f t="shared" ca="1" si="137"/>
        <v>5.0251744765961899</v>
      </c>
      <c r="T316" s="304">
        <f t="shared" ca="1" si="117"/>
        <v>49.296961615408627</v>
      </c>
      <c r="U316" s="311">
        <f t="shared" ca="1" si="118"/>
        <v>0</v>
      </c>
      <c r="V316" s="306">
        <f t="shared" ca="1" si="119"/>
        <v>1.1401273812754369</v>
      </c>
      <c r="W316" s="304">
        <f t="shared" ca="1" si="120"/>
        <v>335.1298552358665</v>
      </c>
      <c r="Y316" s="314" t="str">
        <f t="shared" ca="1" si="138"/>
        <v/>
      </c>
      <c r="Z316" s="315" t="str">
        <f t="shared" ca="1" si="139"/>
        <v/>
      </c>
      <c r="AA316" s="316" t="str">
        <f t="shared" ca="1" si="140"/>
        <v/>
      </c>
      <c r="AC316" s="310" t="e">
        <f t="shared" ca="1" si="141"/>
        <v>#N/A</v>
      </c>
      <c r="AD316" s="323" t="e">
        <f t="shared" ca="1" si="142"/>
        <v>#N/A</v>
      </c>
      <c r="AE316" s="324">
        <f t="shared" ca="1" si="121"/>
        <v>717.70019151183567</v>
      </c>
      <c r="AG316" s="306">
        <f t="shared" ca="1" si="143"/>
        <v>-17.5064697300134</v>
      </c>
      <c r="AH316" s="304">
        <f t="shared" ca="1" si="144"/>
        <v>-7.8927451335691368</v>
      </c>
    </row>
    <row r="317" spans="1:34" x14ac:dyDescent="0.2">
      <c r="A317" s="347">
        <f t="shared" ca="1" si="122"/>
        <v>0.01</v>
      </c>
      <c r="B317" s="304">
        <f t="shared" ca="1" si="123"/>
        <v>3.1299999999999772</v>
      </c>
      <c r="D317" s="306">
        <f t="shared" ca="1" si="124"/>
        <v>-1.8833434323013056</v>
      </c>
      <c r="E317" s="307">
        <f t="shared" ca="1" si="125"/>
        <v>-19.079954246321883</v>
      </c>
      <c r="F317" s="304">
        <f t="shared" ca="1" si="126"/>
        <v>19.172679430004791</v>
      </c>
      <c r="G317" s="306">
        <f t="shared" ca="1" si="127"/>
        <v>59.908856913611231</v>
      </c>
      <c r="H317" s="307">
        <f t="shared" ca="1" si="128"/>
        <v>294.77767943233692</v>
      </c>
      <c r="I317" s="304">
        <f t="shared" ca="1" si="129"/>
        <v>300.80384211011858</v>
      </c>
      <c r="J317" s="306">
        <f t="shared" ca="1" si="130"/>
        <v>139.43158369428932</v>
      </c>
      <c r="K317" s="307">
        <f t="shared" ca="1" si="131"/>
        <v>720.64892230387136</v>
      </c>
      <c r="L317" s="304">
        <f t="shared" ca="1" si="116"/>
        <v>734.01364820364802</v>
      </c>
      <c r="M317" s="306">
        <f t="shared" ca="1" si="132"/>
        <v>1.3702930616873485</v>
      </c>
      <c r="N317" s="304">
        <f t="shared" ca="1" si="133"/>
        <v>78.512009130744843</v>
      </c>
      <c r="P317" s="310">
        <f t="shared" ca="1" si="134"/>
        <v>8</v>
      </c>
      <c r="Q317" s="304">
        <f t="shared" ca="1" si="135"/>
        <v>287.60869565219298</v>
      </c>
      <c r="R317" s="306">
        <f t="shared" ca="1" si="136"/>
        <v>0.14433740416383611</v>
      </c>
      <c r="S317" s="307">
        <f t="shared" ca="1" si="137"/>
        <v>5.0237311025545512</v>
      </c>
      <c r="T317" s="304">
        <f t="shared" ca="1" si="117"/>
        <v>49.282802116060154</v>
      </c>
      <c r="U317" s="311">
        <f t="shared" ca="1" si="118"/>
        <v>0</v>
      </c>
      <c r="V317" s="306">
        <f t="shared" ca="1" si="119"/>
        <v>1.1397908028235553</v>
      </c>
      <c r="W317" s="304">
        <f t="shared" ca="1" si="120"/>
        <v>334.60646318634315</v>
      </c>
      <c r="Y317" s="314" t="str">
        <f t="shared" ca="1" si="138"/>
        <v/>
      </c>
      <c r="Z317" s="315" t="str">
        <f t="shared" ca="1" si="139"/>
        <v/>
      </c>
      <c r="AA317" s="316" t="str">
        <f t="shared" ca="1" si="140"/>
        <v/>
      </c>
      <c r="AC317" s="310" t="e">
        <f t="shared" ca="1" si="141"/>
        <v>#N/A</v>
      </c>
      <c r="AD317" s="323" t="e">
        <f t="shared" ca="1" si="142"/>
        <v>#N/A</v>
      </c>
      <c r="AE317" s="324">
        <f t="shared" ca="1" si="121"/>
        <v>720.64892230387136</v>
      </c>
      <c r="AG317" s="306">
        <f t="shared" ca="1" si="143"/>
        <v>-19.072933739177159</v>
      </c>
      <c r="AH317" s="304">
        <f t="shared" ca="1" si="144"/>
        <v>-9.4593358230318429</v>
      </c>
    </row>
    <row r="318" spans="1:34" x14ac:dyDescent="0.2">
      <c r="A318" s="347">
        <f t="shared" ca="1" si="122"/>
        <v>0.01</v>
      </c>
      <c r="B318" s="304">
        <f t="shared" ca="1" si="123"/>
        <v>3.139999999999977</v>
      </c>
      <c r="D318" s="306">
        <f t="shared" ca="1" si="124"/>
        <v>-2.1947521912768102</v>
      </c>
      <c r="E318" s="307">
        <f t="shared" ca="1" si="125"/>
        <v>-20.609137075950869</v>
      </c>
      <c r="F318" s="304">
        <f t="shared" ca="1" si="126"/>
        <v>20.725671718823666</v>
      </c>
      <c r="G318" s="306">
        <f t="shared" ca="1" si="127"/>
        <v>59.88690939169846</v>
      </c>
      <c r="H318" s="307">
        <f t="shared" ca="1" si="128"/>
        <v>294.57158806157742</v>
      </c>
      <c r="I318" s="304">
        <f t="shared" ca="1" si="129"/>
        <v>300.59750898769795</v>
      </c>
      <c r="J318" s="306">
        <f t="shared" ca="1" si="130"/>
        <v>140.03056252581587</v>
      </c>
      <c r="K318" s="307">
        <f t="shared" ca="1" si="131"/>
        <v>723.59566864134092</v>
      </c>
      <c r="L318" s="304">
        <f t="shared" ca="1" si="116"/>
        <v>737.02052218225629</v>
      </c>
      <c r="M318" s="306">
        <f t="shared" ca="1" si="132"/>
        <v>1.3702280649907748</v>
      </c>
      <c r="N318" s="304">
        <f t="shared" ca="1" si="133"/>
        <v>78.508285094348864</v>
      </c>
      <c r="P318" s="310">
        <f t="shared" ca="1" si="134"/>
        <v>8</v>
      </c>
      <c r="Q318" s="304">
        <f t="shared" ca="1" si="135"/>
        <v>279.26086956523659</v>
      </c>
      <c r="R318" s="306">
        <f t="shared" ca="1" si="136"/>
        <v>0.14014801919037362</v>
      </c>
      <c r="S318" s="307">
        <f t="shared" ca="1" si="137"/>
        <v>5.0223296223626477</v>
      </c>
      <c r="T318" s="304">
        <f t="shared" ca="1" si="117"/>
        <v>49.269053595377578</v>
      </c>
      <c r="U318" s="311">
        <f t="shared" ca="1" si="118"/>
        <v>0</v>
      </c>
      <c r="V318" s="306">
        <f t="shared" ca="1" si="119"/>
        <v>1.1394545465701265</v>
      </c>
      <c r="W318" s="304">
        <f t="shared" ca="1" si="120"/>
        <v>334.04900249410878</v>
      </c>
      <c r="Y318" s="314" t="str">
        <f t="shared" ca="1" si="138"/>
        <v/>
      </c>
      <c r="Z318" s="315" t="str">
        <f t="shared" ca="1" si="139"/>
        <v/>
      </c>
      <c r="AA318" s="316" t="str">
        <f t="shared" ca="1" si="140"/>
        <v/>
      </c>
      <c r="AC318" s="310" t="e">
        <f t="shared" ca="1" si="141"/>
        <v>#N/A</v>
      </c>
      <c r="AD318" s="323" t="e">
        <f t="shared" ca="1" si="142"/>
        <v>#N/A</v>
      </c>
      <c r="AE318" s="324">
        <f t="shared" ca="1" si="121"/>
        <v>723.59566864134092</v>
      </c>
      <c r="AG318" s="306">
        <f t="shared" ca="1" si="143"/>
        <v>-20.633375736828704</v>
      </c>
      <c r="AH318" s="304">
        <f t="shared" ca="1" si="144"/>
        <v>-11.019904662304981</v>
      </c>
    </row>
    <row r="319" spans="1:34" x14ac:dyDescent="0.2">
      <c r="A319" s="347">
        <f t="shared" ca="1" si="122"/>
        <v>0.01</v>
      </c>
      <c r="B319" s="304">
        <f t="shared" ca="1" si="123"/>
        <v>3.1499999999999768</v>
      </c>
      <c r="D319" s="306">
        <f t="shared" ca="1" si="124"/>
        <v>-2.5051611933506548</v>
      </c>
      <c r="E319" s="307">
        <f t="shared" ca="1" si="125"/>
        <v>-22.132380943870068</v>
      </c>
      <c r="F319" s="304">
        <f t="shared" ca="1" si="126"/>
        <v>22.273709139908714</v>
      </c>
      <c r="G319" s="306">
        <f t="shared" ca="1" si="127"/>
        <v>59.861857779764954</v>
      </c>
      <c r="H319" s="307">
        <f t="shared" ca="1" si="128"/>
        <v>294.35026425213874</v>
      </c>
      <c r="I319" s="304">
        <f t="shared" ca="1" si="129"/>
        <v>300.3756316383683</v>
      </c>
      <c r="J319" s="306">
        <f t="shared" ca="1" si="130"/>
        <v>140.62930636167317</v>
      </c>
      <c r="K319" s="307">
        <f t="shared" ca="1" si="131"/>
        <v>726.54027790290945</v>
      </c>
      <c r="L319" s="304">
        <f t="shared" ca="1" si="116"/>
        <v>740.02525444946957</v>
      </c>
      <c r="M319" s="306">
        <f t="shared" ca="1" si="132"/>
        <v>1.3701629994813882</v>
      </c>
      <c r="N319" s="304">
        <f t="shared" ca="1" si="133"/>
        <v>78.504557115269151</v>
      </c>
      <c r="P319" s="310">
        <f t="shared" ca="1" si="134"/>
        <v>8</v>
      </c>
      <c r="Q319" s="304">
        <f t="shared" ca="1" si="135"/>
        <v>270.91304347828031</v>
      </c>
      <c r="R319" s="306">
        <f t="shared" ca="1" si="136"/>
        <v>0.13595863421691121</v>
      </c>
      <c r="S319" s="307">
        <f t="shared" ca="1" si="137"/>
        <v>5.0209700360204783</v>
      </c>
      <c r="T319" s="304">
        <f t="shared" ca="1" si="117"/>
        <v>49.255716053360892</v>
      </c>
      <c r="U319" s="311">
        <f t="shared" ca="1" si="118"/>
        <v>0</v>
      </c>
      <c r="V319" s="306">
        <f t="shared" ca="1" si="119"/>
        <v>1.1391186296894973</v>
      </c>
      <c r="W319" s="304">
        <f t="shared" ca="1" si="120"/>
        <v>333.45771330426743</v>
      </c>
      <c r="Y319" s="314" t="str">
        <f t="shared" ca="1" si="138"/>
        <v/>
      </c>
      <c r="Z319" s="315" t="str">
        <f t="shared" ca="1" si="139"/>
        <v/>
      </c>
      <c r="AA319" s="316" t="str">
        <f t="shared" ca="1" si="140"/>
        <v/>
      </c>
      <c r="AC319" s="310" t="e">
        <f t="shared" ca="1" si="141"/>
        <v>#N/A</v>
      </c>
      <c r="AD319" s="323" t="e">
        <f t="shared" ca="1" si="142"/>
        <v>#N/A</v>
      </c>
      <c r="AE319" s="324">
        <f t="shared" ca="1" si="121"/>
        <v>726.54027790290945</v>
      </c>
      <c r="AG319" s="306">
        <f t="shared" ca="1" si="143"/>
        <v>-22.187798515290908</v>
      </c>
      <c r="AH319" s="304">
        <f t="shared" ca="1" si="144"/>
        <v>-12.574454450612253</v>
      </c>
    </row>
    <row r="320" spans="1:34" x14ac:dyDescent="0.2">
      <c r="A320" s="347">
        <f t="shared" ca="1" si="122"/>
        <v>0.01</v>
      </c>
      <c r="B320" s="304">
        <f t="shared" ca="1" si="123"/>
        <v>3.1599999999999766</v>
      </c>
      <c r="D320" s="306">
        <f t="shared" ca="1" si="124"/>
        <v>-2.8145704337897977</v>
      </c>
      <c r="E320" s="307">
        <f t="shared" ca="1" si="125"/>
        <v>-23.649689940634122</v>
      </c>
      <c r="F320" s="304">
        <f t="shared" ca="1" si="126"/>
        <v>23.816583319504385</v>
      </c>
      <c r="G320" s="306">
        <f t="shared" ca="1" si="127"/>
        <v>59.833712075427059</v>
      </c>
      <c r="H320" s="307">
        <f t="shared" ca="1" si="128"/>
        <v>294.1137673527324</v>
      </c>
      <c r="I320" s="304">
        <f t="shared" ca="1" si="129"/>
        <v>300.13827021415028</v>
      </c>
      <c r="J320" s="306">
        <f t="shared" ca="1" si="130"/>
        <v>141.22778421094912</v>
      </c>
      <c r="K320" s="307">
        <f t="shared" ca="1" si="131"/>
        <v>729.48259806093381</v>
      </c>
      <c r="L320" s="304">
        <f t="shared" ca="1" si="116"/>
        <v>743.02768986550177</v>
      </c>
      <c r="M320" s="306">
        <f t="shared" ca="1" si="132"/>
        <v>1.3700978616754167</v>
      </c>
      <c r="N320" s="304">
        <f t="shared" ca="1" si="133"/>
        <v>78.500824993900238</v>
      </c>
      <c r="P320" s="310">
        <f t="shared" ca="1" si="134"/>
        <v>8</v>
      </c>
      <c r="Q320" s="304">
        <f t="shared" ca="1" si="135"/>
        <v>262.56521739132393</v>
      </c>
      <c r="R320" s="306">
        <f t="shared" ca="1" si="136"/>
        <v>0.13176924924344874</v>
      </c>
      <c r="S320" s="307">
        <f t="shared" ca="1" si="137"/>
        <v>5.019652343528044</v>
      </c>
      <c r="T320" s="304">
        <f t="shared" ca="1" si="117"/>
        <v>49.242789490010111</v>
      </c>
      <c r="U320" s="311">
        <f t="shared" ca="1" si="118"/>
        <v>0</v>
      </c>
      <c r="V320" s="306">
        <f t="shared" ca="1" si="119"/>
        <v>1.138783069268865</v>
      </c>
      <c r="W320" s="304">
        <f t="shared" ca="1" si="120"/>
        <v>332.83284029098473</v>
      </c>
      <c r="Y320" s="314" t="str">
        <f t="shared" ca="1" si="138"/>
        <v/>
      </c>
      <c r="Z320" s="315" t="str">
        <f t="shared" ca="1" si="139"/>
        <v/>
      </c>
      <c r="AA320" s="316" t="str">
        <f t="shared" ca="1" si="140"/>
        <v/>
      </c>
      <c r="AC320" s="310" t="e">
        <f t="shared" ca="1" si="141"/>
        <v>#N/A</v>
      </c>
      <c r="AD320" s="323" t="e">
        <f t="shared" ca="1" si="142"/>
        <v>#N/A</v>
      </c>
      <c r="AE320" s="324">
        <f t="shared" ca="1" si="121"/>
        <v>729.48259806093381</v>
      </c>
      <c r="AG320" s="306">
        <f t="shared" ca="1" si="143"/>
        <v>-23.736206095137646</v>
      </c>
      <c r="AH320" s="304">
        <f t="shared" ca="1" si="144"/>
        <v>-14.122989215447733</v>
      </c>
    </row>
    <row r="321" spans="1:34" x14ac:dyDescent="0.2">
      <c r="A321" s="347">
        <f t="shared" ca="1" si="122"/>
        <v>0.01</v>
      </c>
      <c r="B321" s="304">
        <f t="shared" ca="1" si="123"/>
        <v>3.1699999999999764</v>
      </c>
      <c r="D321" s="306">
        <f t="shared" ca="1" si="124"/>
        <v>-3.1229801685459853</v>
      </c>
      <c r="E321" s="307">
        <f t="shared" ca="1" si="125"/>
        <v>-25.161069336648282</v>
      </c>
      <c r="F321" s="304">
        <f t="shared" ca="1" si="126"/>
        <v>25.354140003099179</v>
      </c>
      <c r="G321" s="306">
        <f t="shared" ca="1" si="127"/>
        <v>59.802482273741596</v>
      </c>
      <c r="H321" s="307">
        <f t="shared" ca="1" si="128"/>
        <v>293.86215665936589</v>
      </c>
      <c r="I321" s="304">
        <f t="shared" ca="1" si="129"/>
        <v>299.88548481477875</v>
      </c>
      <c r="J321" s="306">
        <f t="shared" ca="1" si="130"/>
        <v>141.82596518269497</v>
      </c>
      <c r="K321" s="307">
        <f t="shared" ca="1" si="131"/>
        <v>732.42247768099435</v>
      </c>
      <c r="L321" s="304">
        <f t="shared" ca="1" si="116"/>
        <v>746.02767389177302</v>
      </c>
      <c r="M321" s="306">
        <f t="shared" ca="1" si="132"/>
        <v>1.3700326480815712</v>
      </c>
      <c r="N321" s="304">
        <f t="shared" ca="1" si="133"/>
        <v>78.497088530206014</v>
      </c>
      <c r="P321" s="310">
        <f t="shared" ca="1" si="134"/>
        <v>8</v>
      </c>
      <c r="Q321" s="304">
        <f t="shared" ca="1" si="135"/>
        <v>254.2173913043676</v>
      </c>
      <c r="R321" s="306">
        <f t="shared" ca="1" si="136"/>
        <v>0.1275798642699863</v>
      </c>
      <c r="S321" s="307">
        <f t="shared" ca="1" si="137"/>
        <v>5.0183765448853439</v>
      </c>
      <c r="T321" s="304">
        <f t="shared" ca="1" si="117"/>
        <v>49.230273905325227</v>
      </c>
      <c r="U321" s="311">
        <f t="shared" ca="1" si="118"/>
        <v>0</v>
      </c>
      <c r="V321" s="306">
        <f t="shared" ca="1" si="119"/>
        <v>1.138447882308486</v>
      </c>
      <c r="W321" s="304">
        <f t="shared" ca="1" si="120"/>
        <v>332.17463255068719</v>
      </c>
      <c r="Y321" s="314" t="str">
        <f t="shared" ca="1" si="138"/>
        <v/>
      </c>
      <c r="Z321" s="315" t="str">
        <f t="shared" ca="1" si="139"/>
        <v/>
      </c>
      <c r="AA321" s="316" t="str">
        <f t="shared" ca="1" si="140"/>
        <v/>
      </c>
      <c r="AC321" s="310" t="e">
        <f t="shared" ca="1" si="141"/>
        <v>#N/A</v>
      </c>
      <c r="AD321" s="323" t="e">
        <f t="shared" ca="1" si="142"/>
        <v>#N/A</v>
      </c>
      <c r="AE321" s="324">
        <f t="shared" ca="1" si="121"/>
        <v>732.42247768099435</v>
      </c>
      <c r="AG321" s="306">
        <f t="shared" ca="1" si="143"/>
        <v>-25.2786037049976</v>
      </c>
      <c r="AH321" s="304">
        <f t="shared" ca="1" si="144"/>
        <v>-15.665514192381769</v>
      </c>
    </row>
    <row r="322" spans="1:34" x14ac:dyDescent="0.2">
      <c r="A322" s="347">
        <f t="shared" ca="1" si="122"/>
        <v>0.01</v>
      </c>
      <c r="B322" s="304">
        <f t="shared" ca="1" si="123"/>
        <v>3.1799999999999762</v>
      </c>
      <c r="D322" s="306">
        <f t="shared" ca="1" si="124"/>
        <v>-3.4303909104889421</v>
      </c>
      <c r="E322" s="307">
        <f t="shared" ca="1" si="125"/>
        <v>-26.666525562377736</v>
      </c>
      <c r="F322" s="304">
        <f t="shared" ca="1" si="126"/>
        <v>26.886263544191305</v>
      </c>
      <c r="G322" s="306">
        <f t="shared" ca="1" si="127"/>
        <v>59.768178364636704</v>
      </c>
      <c r="H322" s="307">
        <f t="shared" ca="1" si="128"/>
        <v>293.59549140374213</v>
      </c>
      <c r="I322" s="304">
        <f t="shared" ca="1" si="129"/>
        <v>299.61733547582298</v>
      </c>
      <c r="J322" s="306">
        <f t="shared" ca="1" si="130"/>
        <v>142.42381848588687</v>
      </c>
      <c r="K322" s="307">
        <f t="shared" ca="1" si="131"/>
        <v>735.35976592130987</v>
      </c>
      <c r="L322" s="304">
        <f t="shared" ca="1" si="116"/>
        <v>749.02505259032864</v>
      </c>
      <c r="M322" s="306">
        <f t="shared" ca="1" si="132"/>
        <v>1.3699673551999845</v>
      </c>
      <c r="N322" s="304">
        <f t="shared" ca="1" si="133"/>
        <v>78.493347523658841</v>
      </c>
      <c r="P322" s="310">
        <f t="shared" ca="1" si="134"/>
        <v>8</v>
      </c>
      <c r="Q322" s="304">
        <f t="shared" ca="1" si="135"/>
        <v>245.86956521741126</v>
      </c>
      <c r="R322" s="306">
        <f t="shared" ca="1" si="136"/>
        <v>0.12339047929652386</v>
      </c>
      <c r="S322" s="307">
        <f t="shared" ca="1" si="137"/>
        <v>5.0171426400923789</v>
      </c>
      <c r="T322" s="304">
        <f t="shared" ca="1" si="117"/>
        <v>49.21816929930624</v>
      </c>
      <c r="U322" s="311">
        <f t="shared" ca="1" si="118"/>
        <v>0</v>
      </c>
      <c r="V322" s="306">
        <f t="shared" ca="1" si="119"/>
        <v>1.1381130857218984</v>
      </c>
      <c r="W322" s="304">
        <f t="shared" ca="1" si="120"/>
        <v>331.48334349648121</v>
      </c>
      <c r="Y322" s="314" t="str">
        <f t="shared" ca="1" si="138"/>
        <v/>
      </c>
      <c r="Z322" s="315" t="str">
        <f t="shared" ca="1" si="139"/>
        <v/>
      </c>
      <c r="AA322" s="316" t="str">
        <f t="shared" ca="1" si="140"/>
        <v/>
      </c>
      <c r="AC322" s="310" t="e">
        <f t="shared" ca="1" si="141"/>
        <v>#N/A</v>
      </c>
      <c r="AD322" s="323" t="e">
        <f t="shared" ca="1" si="142"/>
        <v>#N/A</v>
      </c>
      <c r="AE322" s="324">
        <f t="shared" ca="1" si="121"/>
        <v>735.35976592130987</v>
      </c>
      <c r="AG322" s="306">
        <f t="shared" ca="1" si="143"/>
        <v>-26.814997761414357</v>
      </c>
      <c r="AH322" s="304">
        <f t="shared" ca="1" si="144"/>
        <v>-17.202035804923185</v>
      </c>
    </row>
    <row r="323" spans="1:34" x14ac:dyDescent="0.2">
      <c r="A323" s="347">
        <f t="shared" ca="1" si="122"/>
        <v>0.01</v>
      </c>
      <c r="B323" s="304">
        <f t="shared" ca="1" si="123"/>
        <v>3.189999999999976</v>
      </c>
      <c r="D323" s="306">
        <f t="shared" ca="1" si="124"/>
        <v>-3.7368034256550979</v>
      </c>
      <c r="E323" s="307">
        <f t="shared" ca="1" si="125"/>
        <v>-28.166066188617961</v>
      </c>
      <c r="F323" s="304">
        <f t="shared" ca="1" si="126"/>
        <v>28.412866528803384</v>
      </c>
      <c r="G323" s="306">
        <f t="shared" ca="1" si="127"/>
        <v>59.730810330380152</v>
      </c>
      <c r="H323" s="307">
        <f t="shared" ca="1" si="128"/>
        <v>293.31383074185595</v>
      </c>
      <c r="I323" s="304">
        <f t="shared" ca="1" si="129"/>
        <v>299.3338821570087</v>
      </c>
      <c r="J323" s="306">
        <f t="shared" ca="1" si="130"/>
        <v>143.02131342936195</v>
      </c>
      <c r="K323" s="307">
        <f t="shared" ca="1" si="131"/>
        <v>738.29431253203791</v>
      </c>
      <c r="L323" s="304">
        <f t="shared" ca="1" si="116"/>
        <v>752.01967262313974</v>
      </c>
      <c r="M323" s="306">
        <f t="shared" ca="1" si="132"/>
        <v>1.3699019795211482</v>
      </c>
      <c r="N323" s="304">
        <f t="shared" ca="1" si="133"/>
        <v>78.48960177317872</v>
      </c>
      <c r="P323" s="310">
        <f t="shared" ca="1" si="134"/>
        <v>8</v>
      </c>
      <c r="Q323" s="304">
        <f t="shared" ca="1" si="135"/>
        <v>237.5217391304549</v>
      </c>
      <c r="R323" s="306">
        <f t="shared" ca="1" si="136"/>
        <v>0.1192010943230614</v>
      </c>
      <c r="S323" s="307">
        <f t="shared" ca="1" si="137"/>
        <v>5.015950629149148</v>
      </c>
      <c r="T323" s="304">
        <f t="shared" ca="1" si="117"/>
        <v>49.206475671953143</v>
      </c>
      <c r="U323" s="311">
        <f t="shared" ca="1" si="118"/>
        <v>0</v>
      </c>
      <c r="V323" s="306">
        <f t="shared" ca="1" si="119"/>
        <v>1.1377786963361578</v>
      </c>
      <c r="W323" s="304">
        <f t="shared" ca="1" si="120"/>
        <v>330.75923075381957</v>
      </c>
      <c r="Y323" s="314" t="str">
        <f t="shared" ca="1" si="138"/>
        <v/>
      </c>
      <c r="Z323" s="315" t="str">
        <f t="shared" ca="1" si="139"/>
        <v/>
      </c>
      <c r="AA323" s="316" t="str">
        <f t="shared" ca="1" si="140"/>
        <v/>
      </c>
      <c r="AC323" s="310" t="e">
        <f t="shared" ca="1" si="141"/>
        <v>#N/A</v>
      </c>
      <c r="AD323" s="323" t="e">
        <f t="shared" ca="1" si="142"/>
        <v>#N/A</v>
      </c>
      <c r="AE323" s="324">
        <f t="shared" ca="1" si="121"/>
        <v>738.29431253203791</v>
      </c>
      <c r="AG323" s="306">
        <f t="shared" ca="1" si="143"/>
        <v>-28.345395848769449</v>
      </c>
      <c r="AH323" s="304">
        <f t="shared" ca="1" si="144"/>
        <v>-18.732561644444445</v>
      </c>
    </row>
    <row r="324" spans="1:34" x14ac:dyDescent="0.2">
      <c r="A324" s="347">
        <f t="shared" ca="1" si="122"/>
        <v>0.01</v>
      </c>
      <c r="B324" s="304">
        <f t="shared" ca="1" si="123"/>
        <v>3.1999999999999758</v>
      </c>
      <c r="D324" s="306">
        <f t="shared" ca="1" si="124"/>
        <v>-4.0422187295136975</v>
      </c>
      <c r="E324" s="307">
        <f t="shared" ca="1" si="125"/>
        <v>-29.659699906835257</v>
      </c>
      <c r="F324" s="304">
        <f t="shared" ca="1" si="126"/>
        <v>29.933882655291391</v>
      </c>
      <c r="G324" s="306">
        <f t="shared" ca="1" si="127"/>
        <v>59.690388143085016</v>
      </c>
      <c r="H324" s="307">
        <f t="shared" ca="1" si="128"/>
        <v>293.0172337427876</v>
      </c>
      <c r="I324" s="304">
        <f t="shared" ca="1" si="129"/>
        <v>299.03518473073962</v>
      </c>
      <c r="J324" s="306">
        <f t="shared" ca="1" si="130"/>
        <v>143.61841942172927</v>
      </c>
      <c r="K324" s="307">
        <f t="shared" ca="1" si="131"/>
        <v>741.22596785446115</v>
      </c>
      <c r="L324" s="304">
        <f t="shared" ref="L324:L387" ca="1" si="145">SQRT(pos_x^2+pos_z^2)</f>
        <v>755.01138125128841</v>
      </c>
      <c r="M324" s="306">
        <f t="shared" ca="1" si="132"/>
        <v>1.369836517524841</v>
      </c>
      <c r="N324" s="304">
        <f t="shared" ca="1" si="133"/>
        <v>78.485851077071828</v>
      </c>
      <c r="P324" s="310">
        <f t="shared" ca="1" si="134"/>
        <v>8</v>
      </c>
      <c r="Q324" s="304">
        <f t="shared" ca="1" si="135"/>
        <v>229.17391304349857</v>
      </c>
      <c r="R324" s="306">
        <f t="shared" ca="1" si="136"/>
        <v>0.11501170934959895</v>
      </c>
      <c r="S324" s="307">
        <f t="shared" ca="1" si="137"/>
        <v>5.0148005120556522</v>
      </c>
      <c r="T324" s="304">
        <f t="shared" ref="T324:T387" ca="1" si="146">m*g</f>
        <v>49.195193023265951</v>
      </c>
      <c r="U324" s="311">
        <f t="shared" ref="U324:U387" ca="1" si="147">IF(pos_xz&lt;L_rampe,Poids*COS(Beta),0)</f>
        <v>0</v>
      </c>
      <c r="V324" s="306">
        <f t="shared" ref="V324:V387" ca="1" si="148">Rho_moyen*(20000-Alt_rampe-pos_z)/(20000+Alt_rampe+pos_z)</f>
        <v>1.1374447308920919</v>
      </c>
      <c r="W324" s="304">
        <f t="shared" ref="W324:W387" ca="1" si="149">1/2*Rho*Sref*Cx*vit_xz^2</f>
        <v>330.00255605743394</v>
      </c>
      <c r="Y324" s="314" t="str">
        <f t="shared" ca="1" si="138"/>
        <v/>
      </c>
      <c r="Z324" s="315" t="str">
        <f t="shared" ca="1" si="139"/>
        <v/>
      </c>
      <c r="AA324" s="316" t="str">
        <f t="shared" ca="1" si="140"/>
        <v/>
      </c>
      <c r="AC324" s="310" t="e">
        <f t="shared" ca="1" si="141"/>
        <v>#N/A</v>
      </c>
      <c r="AD324" s="323" t="e">
        <f t="shared" ca="1" si="142"/>
        <v>#N/A</v>
      </c>
      <c r="AE324" s="324">
        <f t="shared" ref="AE324:AE387" ca="1" si="150">IF(t&lt;T_para, pos_z, NA())</f>
        <v>741.22596785446115</v>
      </c>
      <c r="AG324" s="306">
        <f t="shared" ca="1" si="143"/>
        <v>-29.869806699277667</v>
      </c>
      <c r="AH324" s="304">
        <f t="shared" ca="1" si="144"/>
        <v>-20.257100450179113</v>
      </c>
    </row>
    <row r="325" spans="1:34" x14ac:dyDescent="0.2">
      <c r="A325" s="347">
        <f t="shared" ref="A325:A388" ca="1" si="151">IF(B324+0.01&lt;=T_ini+ROUNDUP(Temps_fin_propu,0), 0.01, IF(K324&gt;0, 0.1, 0.0001))</f>
        <v>0.01</v>
      </c>
      <c r="B325" s="304">
        <f t="shared" ref="B325:B388" ca="1" si="152">B324+pas</f>
        <v>3.2099999999999755</v>
      </c>
      <c r="D325" s="306">
        <f t="shared" ref="D325:D388" ca="1" si="153">IF(AND(L324&lt;L_rampe,Poussee&lt;Poids*SIN(M324)),0,(-W324+Poussee)/m*COS(M324)-U324/m*SIN(M324))</f>
        <v>-4.2969573933760774</v>
      </c>
      <c r="E325" s="307">
        <f t="shared" ref="E325:E388" ca="1" si="154">IF(AND(L324&lt;L_rampe,Poussee&lt;Poids*SIN(M324)),0,(-W324+Poussee)/m*SIN(M324)+U324/m*COS(M324)-Poids/m)</f>
        <v>-30.903556401400941</v>
      </c>
      <c r="F325" s="304">
        <f t="shared" ref="F325:F388" ca="1" si="155">SQRT(acc_x^2+acc_z^2)</f>
        <v>31.200859621091507</v>
      </c>
      <c r="G325" s="306">
        <f t="shared" ref="G325:G388" ca="1" si="156">G324+acc_x*pas</f>
        <v>59.647418569151256</v>
      </c>
      <c r="H325" s="307">
        <f t="shared" ref="H325:H388" ca="1" si="157">H324+acc_z*pas</f>
        <v>292.70819817877361</v>
      </c>
      <c r="I325" s="304">
        <f t="shared" ref="I325:I388" ca="1" si="158">SQRT(vit_x^2+vit_z^2)</f>
        <v>298.7237918596839</v>
      </c>
      <c r="J325" s="306">
        <f t="shared" ref="J325:J388" ca="1" si="159">J324+0.5*(vit_x+G324)*pas*(K324&gt;=0)</f>
        <v>144.21510845529045</v>
      </c>
      <c r="K325" s="307">
        <f t="shared" ref="K325:K388" ca="1" si="160">K324+0.5*(vit_z+H324)*pas</f>
        <v>744.15459501406895</v>
      </c>
      <c r="L325" s="304">
        <f t="shared" ca="1" si="145"/>
        <v>758.00003877791733</v>
      </c>
      <c r="M325" s="306">
        <f t="shared" ref="M325:M388" ca="1" si="161">IF(AND(L324&gt;L_rampe,G325&gt;0),ATAN2(G325,H325),$M$4)</f>
        <v>1.3697709662252135</v>
      </c>
      <c r="N325" s="304">
        <f t="shared" ref="N325:N388" ca="1" si="162">DEGREES(Beta)</f>
        <v>78.482095264261574</v>
      </c>
      <c r="P325" s="310">
        <f t="shared" ref="P325:P388" ca="1" si="163">MATCH(t-pas/2-T_ini,CdP_t)</f>
        <v>9</v>
      </c>
      <c r="Q325" s="304">
        <f t="shared" ref="Q325:Q388" ca="1" si="164">(INDEX(CdP,2,i_P+1)-INDEX(CdP,2,i_P+0))/(INDEX(CdP,1,i_P+1)-INDEX(CdP,1,i_P+0))*(t-pas/2-T_ini-INDEX(CdP,1,i_P+0))+INDEX(CdP,2,i_P+0)</f>
        <v>222.07407407408843</v>
      </c>
      <c r="R325" s="306">
        <f t="shared" ref="R325:R388" ca="1" si="165">Poussee/(g*ISP)</f>
        <v>0.11144863096456581</v>
      </c>
      <c r="S325" s="307">
        <f t="shared" ref="S325:S388" ca="1" si="166">S324-Débit*pas</f>
        <v>5.013686025746007</v>
      </c>
      <c r="T325" s="304">
        <f t="shared" ca="1" si="146"/>
        <v>49.184259912568329</v>
      </c>
      <c r="U325" s="311">
        <f t="shared" ca="1" si="147"/>
        <v>0</v>
      </c>
      <c r="V325" s="306">
        <f t="shared" ca="1" si="148"/>
        <v>1.1371112046560492</v>
      </c>
      <c r="W325" s="304">
        <f t="shared" ca="1" si="149"/>
        <v>329.21907065988103</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f t="shared" ca="1" si="150"/>
        <v>744.15459501406895</v>
      </c>
      <c r="AG325" s="306">
        <f t="shared" ref="AG325:AG388" ca="1" si="172">IF(AND(L324&lt;L_rampe,Poussee&lt;Poids*SIN(M324)),0,(-W324+Poussee)/m-Poids*SIN(M324)/m)</f>
        <v>-31.139351285977369</v>
      </c>
      <c r="AH325" s="304">
        <f t="shared" ref="AH325:AH388" ca="1" si="173">IF(AND(L324&lt;L_rampe,Poussee&lt;Poids*SIN(M324)), g*SIN(M324), (-W324+Poussee)/m)</f>
        <v>-21.526773202214308</v>
      </c>
    </row>
    <row r="326" spans="1:34" x14ac:dyDescent="0.2">
      <c r="A326" s="347">
        <f t="shared" ca="1" si="151"/>
        <v>0.01</v>
      </c>
      <c r="B326" s="304">
        <f t="shared" ca="1" si="152"/>
        <v>3.2199999999999753</v>
      </c>
      <c r="D326" s="306">
        <f t="shared" ca="1" si="153"/>
        <v>-4.5011661280314881</v>
      </c>
      <c r="E326" s="307">
        <f t="shared" ca="1" si="154"/>
        <v>-31.898604312556628</v>
      </c>
      <c r="F326" s="304">
        <f t="shared" ca="1" si="155"/>
        <v>32.214615527756877</v>
      </c>
      <c r="G326" s="306">
        <f t="shared" ca="1" si="156"/>
        <v>59.602406907870943</v>
      </c>
      <c r="H326" s="307">
        <f t="shared" ca="1" si="157"/>
        <v>292.38921213564805</v>
      </c>
      <c r="I326" s="304">
        <f t="shared" ca="1" si="158"/>
        <v>298.40224242206426</v>
      </c>
      <c r="J326" s="306">
        <f t="shared" ca="1" si="159"/>
        <v>144.81135758267556</v>
      </c>
      <c r="K326" s="307">
        <f t="shared" ca="1" si="160"/>
        <v>747.08008206564102</v>
      </c>
      <c r="L326" s="304">
        <f t="shared" ca="1" si="145"/>
        <v>760.9855309426996</v>
      </c>
      <c r="M326" s="306">
        <f t="shared" ca="1" si="161"/>
        <v>1.3697053231732212</v>
      </c>
      <c r="N326" s="304">
        <f t="shared" ca="1" si="162"/>
        <v>78.478334194428058</v>
      </c>
      <c r="P326" s="310">
        <f t="shared" ca="1" si="163"/>
        <v>9</v>
      </c>
      <c r="Q326" s="304">
        <f t="shared" ca="1" si="164"/>
        <v>216.2222222222367</v>
      </c>
      <c r="R326" s="306">
        <f t="shared" ca="1" si="165"/>
        <v>0.1085118591679681</v>
      </c>
      <c r="S326" s="307">
        <f t="shared" ca="1" si="166"/>
        <v>5.0126009071543276</v>
      </c>
      <c r="T326" s="304">
        <f t="shared" ca="1" si="146"/>
        <v>49.173614899183953</v>
      </c>
      <c r="U326" s="311">
        <f t="shared" ca="1" si="147"/>
        <v>0</v>
      </c>
      <c r="V326" s="306">
        <f t="shared" ca="1" si="148"/>
        <v>1.1367781300394644</v>
      </c>
      <c r="W326" s="304">
        <f t="shared" ca="1" si="149"/>
        <v>328.41447731408476</v>
      </c>
      <c r="Y326" s="314" t="str">
        <f t="shared" ca="1" si="167"/>
        <v/>
      </c>
      <c r="Z326" s="315" t="str">
        <f t="shared" ca="1" si="168"/>
        <v/>
      </c>
      <c r="AA326" s="316" t="str">
        <f t="shared" ca="1" si="169"/>
        <v/>
      </c>
      <c r="AC326" s="310" t="e">
        <f t="shared" ca="1" si="170"/>
        <v>#N/A</v>
      </c>
      <c r="AD326" s="323" t="e">
        <f t="shared" ca="1" si="171"/>
        <v>#N/A</v>
      </c>
      <c r="AE326" s="324">
        <f t="shared" ca="1" si="150"/>
        <v>747.08008206564102</v>
      </c>
      <c r="AG326" s="306">
        <f t="shared" ca="1" si="172"/>
        <v>-32.155008052877001</v>
      </c>
      <c r="AH326" s="304">
        <f t="shared" ca="1" si="173"/>
        <v>-22.542558350569557</v>
      </c>
    </row>
    <row r="327" spans="1:34" x14ac:dyDescent="0.2">
      <c r="A327" s="347">
        <f t="shared" ca="1" si="151"/>
        <v>0.01</v>
      </c>
      <c r="B327" s="304">
        <f t="shared" ca="1" si="152"/>
        <v>3.2299999999999751</v>
      </c>
      <c r="D327" s="306">
        <f t="shared" ca="1" si="153"/>
        <v>-4.7047264675652087</v>
      </c>
      <c r="E327" s="307">
        <f t="shared" ca="1" si="154"/>
        <v>-32.889793862879422</v>
      </c>
      <c r="F327" s="304">
        <f t="shared" ca="1" si="155"/>
        <v>33.224584143030434</v>
      </c>
      <c r="G327" s="306">
        <f t="shared" ca="1" si="156"/>
        <v>59.555359643195288</v>
      </c>
      <c r="H327" s="307">
        <f t="shared" ca="1" si="157"/>
        <v>292.06031419701924</v>
      </c>
      <c r="I327" s="304">
        <f t="shared" ca="1" si="158"/>
        <v>298.07057552044944</v>
      </c>
      <c r="J327" s="306">
        <f t="shared" ca="1" si="159"/>
        <v>145.40714641543087</v>
      </c>
      <c r="K327" s="307">
        <f t="shared" ca="1" si="160"/>
        <v>750.00232969730439</v>
      </c>
      <c r="L327" s="304">
        <f t="shared" ca="1" si="145"/>
        <v>763.96775637461474</v>
      </c>
      <c r="M327" s="306">
        <f t="shared" ca="1" si="161"/>
        <v>1.3696395859103503</v>
      </c>
      <c r="N327" s="304">
        <f t="shared" ca="1" si="162"/>
        <v>78.474567726708798</v>
      </c>
      <c r="P327" s="310">
        <f t="shared" ca="1" si="163"/>
        <v>9</v>
      </c>
      <c r="Q327" s="304">
        <f t="shared" ca="1" si="164"/>
        <v>210.37037037038499</v>
      </c>
      <c r="R327" s="306">
        <f t="shared" ca="1" si="165"/>
        <v>0.10557508737137039</v>
      </c>
      <c r="S327" s="307">
        <f t="shared" ca="1" si="166"/>
        <v>5.0115451562806141</v>
      </c>
      <c r="T327" s="304">
        <f t="shared" ca="1" si="146"/>
        <v>49.163257983112828</v>
      </c>
      <c r="U327" s="311">
        <f t="shared" ca="1" si="147"/>
        <v>0</v>
      </c>
      <c r="V327" s="306">
        <f t="shared" ca="1" si="148"/>
        <v>1.1364455180022528</v>
      </c>
      <c r="W327" s="304">
        <f t="shared" ca="1" si="149"/>
        <v>327.58895555766475</v>
      </c>
      <c r="Y327" s="314" t="str">
        <f t="shared" ca="1" si="167"/>
        <v/>
      </c>
      <c r="Z327" s="315" t="str">
        <f t="shared" ca="1" si="168"/>
        <v/>
      </c>
      <c r="AA327" s="316" t="str">
        <f t="shared" ca="1" si="169"/>
        <v/>
      </c>
      <c r="AC327" s="310" t="e">
        <f t="shared" ca="1" si="170"/>
        <v>#N/A</v>
      </c>
      <c r="AD327" s="323" t="e">
        <f t="shared" ca="1" si="171"/>
        <v>#N/A</v>
      </c>
      <c r="AE327" s="324">
        <f t="shared" ca="1" si="150"/>
        <v>750.00232969730439</v>
      </c>
      <c r="AG327" s="306">
        <f t="shared" ca="1" si="172"/>
        <v>-33.166754565412205</v>
      </c>
      <c r="AH327" s="304">
        <f t="shared" ca="1" si="173"/>
        <v>-23.554433465647509</v>
      </c>
    </row>
    <row r="328" spans="1:34" x14ac:dyDescent="0.2">
      <c r="A328" s="347">
        <f t="shared" ca="1" si="151"/>
        <v>0.01</v>
      </c>
      <c r="B328" s="304">
        <f t="shared" ca="1" si="152"/>
        <v>3.2399999999999749</v>
      </c>
      <c r="D328" s="306">
        <f t="shared" ca="1" si="153"/>
        <v>-4.9076410974190292</v>
      </c>
      <c r="E328" s="307">
        <f t="shared" ca="1" si="154"/>
        <v>-33.87714037939952</v>
      </c>
      <c r="F328" s="304">
        <f t="shared" ca="1" si="155"/>
        <v>34.230769512627347</v>
      </c>
      <c r="G328" s="306">
        <f t="shared" ca="1" si="156"/>
        <v>59.506283232221101</v>
      </c>
      <c r="H328" s="307">
        <f t="shared" ca="1" si="157"/>
        <v>291.72154279322524</v>
      </c>
      <c r="I328" s="304">
        <f t="shared" ca="1" si="158"/>
        <v>297.72883010177713</v>
      </c>
      <c r="J328" s="306">
        <f t="shared" ca="1" si="159"/>
        <v>146.00245462980794</v>
      </c>
      <c r="K328" s="307">
        <f t="shared" ca="1" si="160"/>
        <v>752.92123898225566</v>
      </c>
      <c r="L328" s="304">
        <f t="shared" ca="1" si="145"/>
        <v>766.94661409286118</v>
      </c>
      <c r="M328" s="306">
        <f t="shared" ca="1" si="161"/>
        <v>1.3695737519680851</v>
      </c>
      <c r="N328" s="304">
        <f t="shared" ca="1" si="162"/>
        <v>78.470795719668303</v>
      </c>
      <c r="P328" s="310">
        <f t="shared" ca="1" si="163"/>
        <v>9</v>
      </c>
      <c r="Q328" s="304">
        <f t="shared" ca="1" si="164"/>
        <v>204.51851851853326</v>
      </c>
      <c r="R328" s="306">
        <f t="shared" ca="1" si="165"/>
        <v>0.10263831557477268</v>
      </c>
      <c r="S328" s="307">
        <f t="shared" ca="1" si="166"/>
        <v>5.0105187731248666</v>
      </c>
      <c r="T328" s="304">
        <f t="shared" ca="1" si="146"/>
        <v>49.153189164354941</v>
      </c>
      <c r="U328" s="311">
        <f t="shared" ca="1" si="147"/>
        <v>0</v>
      </c>
      <c r="V328" s="306">
        <f t="shared" ca="1" si="148"/>
        <v>1.1361133794484062</v>
      </c>
      <c r="W328" s="304">
        <f t="shared" ca="1" si="149"/>
        <v>326.74268619236852</v>
      </c>
      <c r="Y328" s="314" t="str">
        <f t="shared" ca="1" si="167"/>
        <v/>
      </c>
      <c r="Z328" s="315" t="str">
        <f t="shared" ca="1" si="168"/>
        <v/>
      </c>
      <c r="AA328" s="316" t="str">
        <f t="shared" ca="1" si="169"/>
        <v/>
      </c>
      <c r="AC328" s="310" t="e">
        <f t="shared" ca="1" si="170"/>
        <v>#N/A</v>
      </c>
      <c r="AD328" s="323" t="e">
        <f t="shared" ca="1" si="171"/>
        <v>#N/A</v>
      </c>
      <c r="AE328" s="324">
        <f t="shared" ca="1" si="150"/>
        <v>752.92123898225566</v>
      </c>
      <c r="AG328" s="306">
        <f t="shared" ca="1" si="172"/>
        <v>-34.174606386673069</v>
      </c>
      <c r="AH328" s="304">
        <f t="shared" ca="1" si="173"/>
        <v>-24.562414115530242</v>
      </c>
    </row>
    <row r="329" spans="1:34" x14ac:dyDescent="0.2">
      <c r="A329" s="347">
        <f t="shared" ca="1" si="151"/>
        <v>0.01</v>
      </c>
      <c r="B329" s="304">
        <f t="shared" ca="1" si="152"/>
        <v>3.2499999999999747</v>
      </c>
      <c r="D329" s="306">
        <f t="shared" ca="1" si="153"/>
        <v>-5.1099127952698558</v>
      </c>
      <c r="E329" s="307">
        <f t="shared" ca="1" si="154"/>
        <v>-34.860659580899586</v>
      </c>
      <c r="F329" s="304">
        <f t="shared" ca="1" si="155"/>
        <v>35.233177477920279</v>
      </c>
      <c r="G329" s="306">
        <f t="shared" ca="1" si="156"/>
        <v>59.455184104268405</v>
      </c>
      <c r="H329" s="307">
        <f t="shared" ca="1" si="157"/>
        <v>291.37293619741627</v>
      </c>
      <c r="I329" s="304">
        <f t="shared" ca="1" si="158"/>
        <v>297.37704495333202</v>
      </c>
      <c r="J329" s="306">
        <f t="shared" ca="1" si="159"/>
        <v>146.59726196649038</v>
      </c>
      <c r="K329" s="307">
        <f t="shared" ca="1" si="160"/>
        <v>755.83671137720887</v>
      </c>
      <c r="L329" s="304">
        <f t="shared" ca="1" si="145"/>
        <v>769.92200350528094</v>
      </c>
      <c r="M329" s="306">
        <f t="shared" ca="1" si="161"/>
        <v>1.3695078188673733</v>
      </c>
      <c r="N329" s="304">
        <f t="shared" ca="1" si="162"/>
        <v>78.467018031267301</v>
      </c>
      <c r="P329" s="310">
        <f t="shared" ca="1" si="163"/>
        <v>9</v>
      </c>
      <c r="Q329" s="304">
        <f t="shared" ca="1" si="164"/>
        <v>198.66666666668152</v>
      </c>
      <c r="R329" s="306">
        <f t="shared" ca="1" si="165"/>
        <v>9.9701543778174959E-2</v>
      </c>
      <c r="S329" s="307">
        <f t="shared" ca="1" si="166"/>
        <v>5.009521757687085</v>
      </c>
      <c r="T329" s="304">
        <f t="shared" ca="1" si="146"/>
        <v>49.143408442910307</v>
      </c>
      <c r="U329" s="311">
        <f t="shared" ca="1" si="147"/>
        <v>0</v>
      </c>
      <c r="V329" s="306">
        <f t="shared" ca="1" si="148"/>
        <v>1.1357817252262781</v>
      </c>
      <c r="W329" s="304">
        <f t="shared" ca="1" si="149"/>
        <v>325.8758512447767</v>
      </c>
      <c r="Y329" s="314" t="str">
        <f t="shared" ca="1" si="167"/>
        <v/>
      </c>
      <c r="Z329" s="315" t="str">
        <f t="shared" ca="1" si="168"/>
        <v/>
      </c>
      <c r="AA329" s="316" t="str">
        <f t="shared" ca="1" si="169"/>
        <v/>
      </c>
      <c r="AC329" s="310" t="e">
        <f t="shared" ca="1" si="170"/>
        <v>#N/A</v>
      </c>
      <c r="AD329" s="323" t="e">
        <f t="shared" ca="1" si="171"/>
        <v>#N/A</v>
      </c>
      <c r="AE329" s="324">
        <f t="shared" ca="1" si="150"/>
        <v>755.83671137720887</v>
      </c>
      <c r="AG329" s="306">
        <f t="shared" ca="1" si="172"/>
        <v>-35.178579481994944</v>
      </c>
      <c r="AH329" s="304">
        <f t="shared" ca="1" si="173"/>
        <v>-25.566516270571142</v>
      </c>
    </row>
    <row r="330" spans="1:34" x14ac:dyDescent="0.2">
      <c r="A330" s="347">
        <f t="shared" ca="1" si="151"/>
        <v>0.01</v>
      </c>
      <c r="B330" s="304">
        <f t="shared" ca="1" si="152"/>
        <v>3.2599999999999745</v>
      </c>
      <c r="D330" s="306">
        <f t="shared" ca="1" si="153"/>
        <v>-5.3115444294694312</v>
      </c>
      <c r="E330" s="307">
        <f t="shared" ca="1" si="154"/>
        <v>-35.840367569687324</v>
      </c>
      <c r="F330" s="304">
        <f t="shared" ca="1" si="155"/>
        <v>36.231815463160586</v>
      </c>
      <c r="G330" s="306">
        <f t="shared" ca="1" si="156"/>
        <v>59.402068659973708</v>
      </c>
      <c r="H330" s="307">
        <f t="shared" ca="1" si="157"/>
        <v>291.01453252171939</v>
      </c>
      <c r="I330" s="304">
        <f t="shared" ca="1" si="158"/>
        <v>297.01525869880675</v>
      </c>
      <c r="J330" s="306">
        <f t="shared" ca="1" si="159"/>
        <v>147.19154823031158</v>
      </c>
      <c r="K330" s="307">
        <f t="shared" ca="1" si="160"/>
        <v>758.74864872080457</v>
      </c>
      <c r="L330" s="304">
        <f t="shared" ca="1" si="145"/>
        <v>772.8938244067441</v>
      </c>
      <c r="M330" s="306">
        <f t="shared" ca="1" si="161"/>
        <v>1.369441784118085</v>
      </c>
      <c r="N330" s="304">
        <f t="shared" ca="1" si="162"/>
        <v>78.463234518831882</v>
      </c>
      <c r="P330" s="310">
        <f t="shared" ca="1" si="163"/>
        <v>9</v>
      </c>
      <c r="Q330" s="304">
        <f t="shared" ca="1" si="164"/>
        <v>192.81481481482979</v>
      </c>
      <c r="R330" s="306">
        <f t="shared" ca="1" si="165"/>
        <v>9.6764771981577249E-2</v>
      </c>
      <c r="S330" s="307">
        <f t="shared" ca="1" si="166"/>
        <v>5.0085541099672692</v>
      </c>
      <c r="T330" s="304">
        <f t="shared" ca="1" si="146"/>
        <v>49.133915818778917</v>
      </c>
      <c r="U330" s="311">
        <f t="shared" ca="1" si="147"/>
        <v>0</v>
      </c>
      <c r="V330" s="306">
        <f t="shared" ca="1" si="148"/>
        <v>1.1354505661288732</v>
      </c>
      <c r="W330" s="304">
        <f t="shared" ca="1" si="149"/>
        <v>324.98863392765816</v>
      </c>
      <c r="Y330" s="314" t="str">
        <f t="shared" ca="1" si="167"/>
        <v/>
      </c>
      <c r="Z330" s="315" t="str">
        <f t="shared" ca="1" si="168"/>
        <v/>
      </c>
      <c r="AA330" s="316" t="str">
        <f t="shared" ca="1" si="169"/>
        <v/>
      </c>
      <c r="AC330" s="310" t="e">
        <f t="shared" ca="1" si="170"/>
        <v>#N/A</v>
      </c>
      <c r="AD330" s="323" t="e">
        <f t="shared" ca="1" si="171"/>
        <v>#N/A</v>
      </c>
      <c r="AE330" s="324">
        <f t="shared" ca="1" si="150"/>
        <v>758.74864872080457</v>
      </c>
      <c r="AG330" s="306">
        <f t="shared" ca="1" si="172"/>
        <v>-36.178690210587519</v>
      </c>
      <c r="AH330" s="304">
        <f t="shared" ca="1" si="173"/>
        <v>-26.566756295025126</v>
      </c>
    </row>
    <row r="331" spans="1:34" x14ac:dyDescent="0.2">
      <c r="A331" s="347">
        <f t="shared" ca="1" si="151"/>
        <v>0.01</v>
      </c>
      <c r="B331" s="304">
        <f t="shared" ca="1" si="152"/>
        <v>3.2699999999999743</v>
      </c>
      <c r="D331" s="306">
        <f t="shared" ca="1" si="153"/>
        <v>-5.5125389575018708</v>
      </c>
      <c r="E331" s="307">
        <f t="shared" ca="1" si="154"/>
        <v>-36.816280823451102</v>
      </c>
      <c r="F331" s="304">
        <f t="shared" ca="1" si="155"/>
        <v>37.226692297720852</v>
      </c>
      <c r="G331" s="306">
        <f t="shared" ca="1" si="156"/>
        <v>59.34694327039869</v>
      </c>
      <c r="H331" s="307">
        <f t="shared" ca="1" si="157"/>
        <v>290.64636971348489</v>
      </c>
      <c r="I331" s="304">
        <f t="shared" ca="1" si="158"/>
        <v>296.64350979444612</v>
      </c>
      <c r="J331" s="306">
        <f t="shared" ca="1" si="159"/>
        <v>147.78529328996345</v>
      </c>
      <c r="K331" s="307">
        <f t="shared" ca="1" si="160"/>
        <v>761.65695323198054</v>
      </c>
      <c r="L331" s="304">
        <f t="shared" ca="1" si="145"/>
        <v>775.86197697749299</v>
      </c>
      <c r="M331" s="306">
        <f t="shared" ca="1" si="161"/>
        <v>1.3693756452184667</v>
      </c>
      <c r="N331" s="304">
        <f t="shared" ca="1" si="162"/>
        <v>78.459445039022114</v>
      </c>
      <c r="P331" s="310">
        <f t="shared" ca="1" si="163"/>
        <v>9</v>
      </c>
      <c r="Q331" s="304">
        <f t="shared" ca="1" si="164"/>
        <v>186.96296296297808</v>
      </c>
      <c r="R331" s="306">
        <f t="shared" ca="1" si="165"/>
        <v>9.382800018497954E-2</v>
      </c>
      <c r="S331" s="307">
        <f t="shared" ca="1" si="166"/>
        <v>5.0076158299654194</v>
      </c>
      <c r="T331" s="304">
        <f t="shared" ca="1" si="146"/>
        <v>49.124711291960764</v>
      </c>
      <c r="U331" s="311">
        <f t="shared" ca="1" si="147"/>
        <v>0</v>
      </c>
      <c r="V331" s="306">
        <f t="shared" ca="1" si="148"/>
        <v>1.1351199128941458</v>
      </c>
      <c r="W331" s="304">
        <f t="shared" ca="1" si="149"/>
        <v>324.08121860197809</v>
      </c>
      <c r="Y331" s="314" t="str">
        <f t="shared" ca="1" si="167"/>
        <v/>
      </c>
      <c r="Z331" s="315" t="str">
        <f t="shared" ca="1" si="168"/>
        <v/>
      </c>
      <c r="AA331" s="316" t="str">
        <f t="shared" ca="1" si="169"/>
        <v/>
      </c>
      <c r="AC331" s="310" t="e">
        <f t="shared" ca="1" si="170"/>
        <v>#N/A</v>
      </c>
      <c r="AD331" s="323" t="e">
        <f t="shared" ca="1" si="171"/>
        <v>#N/A</v>
      </c>
      <c r="AE331" s="324">
        <f t="shared" ca="1" si="150"/>
        <v>761.65695323198054</v>
      </c>
      <c r="AG331" s="306">
        <f t="shared" ca="1" si="172"/>
        <v>-37.174955317248923</v>
      </c>
      <c r="AH331" s="304">
        <f t="shared" ca="1" si="173"/>
        <v>-27.563150938763851</v>
      </c>
    </row>
    <row r="332" spans="1:34" x14ac:dyDescent="0.2">
      <c r="A332" s="347">
        <f t="shared" ca="1" si="151"/>
        <v>0.01</v>
      </c>
      <c r="B332" s="304">
        <f t="shared" ca="1" si="152"/>
        <v>3.279999999999974</v>
      </c>
      <c r="D332" s="306">
        <f t="shared" ca="1" si="153"/>
        <v>-5.7128994244594189</v>
      </c>
      <c r="E332" s="307">
        <f t="shared" ca="1" si="154"/>
        <v>-37.788416187200426</v>
      </c>
      <c r="F332" s="304">
        <f t="shared" ca="1" si="155"/>
        <v>38.217818066591143</v>
      </c>
      <c r="G332" s="306">
        <f t="shared" ca="1" si="156"/>
        <v>59.289814276154097</v>
      </c>
      <c r="H332" s="307">
        <f t="shared" ca="1" si="157"/>
        <v>290.26848555161286</v>
      </c>
      <c r="I332" s="304">
        <f t="shared" ca="1" si="158"/>
        <v>296.26183652527322</v>
      </c>
      <c r="J332" s="306">
        <f t="shared" ca="1" si="159"/>
        <v>148.3784770776962</v>
      </c>
      <c r="K332" s="307">
        <f t="shared" ca="1" si="160"/>
        <v>764.56152750830597</v>
      </c>
      <c r="L332" s="304">
        <f t="shared" ca="1" si="145"/>
        <v>778.82636178145026</v>
      </c>
      <c r="M332" s="306">
        <f t="shared" ca="1" si="161"/>
        <v>1.3693093996545906</v>
      </c>
      <c r="N332" s="304">
        <f t="shared" ca="1" si="162"/>
        <v>78.455649447800553</v>
      </c>
      <c r="P332" s="310">
        <f t="shared" ca="1" si="163"/>
        <v>9</v>
      </c>
      <c r="Q332" s="304">
        <f t="shared" ca="1" si="164"/>
        <v>181.11111111112635</v>
      </c>
      <c r="R332" s="306">
        <f t="shared" ca="1" si="165"/>
        <v>9.0891228388381831E-2</v>
      </c>
      <c r="S332" s="307">
        <f t="shared" ca="1" si="166"/>
        <v>5.0067069176815355</v>
      </c>
      <c r="T332" s="304">
        <f t="shared" ca="1" si="146"/>
        <v>49.115794862455864</v>
      </c>
      <c r="U332" s="311">
        <f t="shared" ca="1" si="147"/>
        <v>0</v>
      </c>
      <c r="V332" s="306">
        <f t="shared" ca="1" si="148"/>
        <v>1.1347897762052994</v>
      </c>
      <c r="W332" s="304">
        <f t="shared" ca="1" si="149"/>
        <v>323.15379073955575</v>
      </c>
      <c r="Y332" s="314" t="str">
        <f t="shared" ca="1" si="167"/>
        <v/>
      </c>
      <c r="Z332" s="315" t="str">
        <f t="shared" ca="1" si="168"/>
        <v/>
      </c>
      <c r="AA332" s="316" t="str">
        <f t="shared" ca="1" si="169"/>
        <v/>
      </c>
      <c r="AC332" s="310" t="e">
        <f t="shared" ca="1" si="170"/>
        <v>#N/A</v>
      </c>
      <c r="AD332" s="323" t="e">
        <f t="shared" ca="1" si="171"/>
        <v>#N/A</v>
      </c>
      <c r="AE332" s="324">
        <f t="shared" ca="1" si="150"/>
        <v>764.56152750830597</v>
      </c>
      <c r="AG332" s="306">
        <f t="shared" ca="1" si="172"/>
        <v>-38.167391924166594</v>
      </c>
      <c r="AH332" s="304">
        <f t="shared" ca="1" si="173"/>
        <v>-28.555717329077684</v>
      </c>
    </row>
    <row r="333" spans="1:34" x14ac:dyDescent="0.2">
      <c r="A333" s="347">
        <f t="shared" ca="1" si="151"/>
        <v>0.01</v>
      </c>
      <c r="B333" s="304">
        <f t="shared" ca="1" si="152"/>
        <v>3.2899999999999738</v>
      </c>
      <c r="D333" s="306">
        <f t="shared" ca="1" si="153"/>
        <v>-5.9126289615365009</v>
      </c>
      <c r="E333" s="307">
        <f t="shared" ca="1" si="154"/>
        <v>-38.756790865291478</v>
      </c>
      <c r="F333" s="304">
        <f t="shared" ca="1" si="155"/>
        <v>39.205203983817519</v>
      </c>
      <c r="G333" s="306">
        <f t="shared" ca="1" si="156"/>
        <v>59.230687986538733</v>
      </c>
      <c r="H333" s="307">
        <f t="shared" ca="1" si="157"/>
        <v>289.88091764295996</v>
      </c>
      <c r="I333" s="304">
        <f t="shared" ca="1" si="158"/>
        <v>295.87027700139674</v>
      </c>
      <c r="J333" s="306">
        <f t="shared" ca="1" si="159"/>
        <v>148.97107958900966</v>
      </c>
      <c r="K333" s="307">
        <f t="shared" ca="1" si="160"/>
        <v>767.46227452427888</v>
      </c>
      <c r="L333" s="304">
        <f t="shared" ca="1" si="145"/>
        <v>781.78687976448839</v>
      </c>
      <c r="M333" s="306">
        <f t="shared" ca="1" si="161"/>
        <v>1.369243044899799</v>
      </c>
      <c r="N333" s="304">
        <f t="shared" ca="1" si="162"/>
        <v>78.451847600400356</v>
      </c>
      <c r="P333" s="310">
        <f t="shared" ca="1" si="163"/>
        <v>9</v>
      </c>
      <c r="Q333" s="304">
        <f t="shared" ca="1" si="164"/>
        <v>175.25925925927461</v>
      </c>
      <c r="R333" s="306">
        <f t="shared" ca="1" si="165"/>
        <v>8.7954456591784108E-2</v>
      </c>
      <c r="S333" s="307">
        <f t="shared" ca="1" si="166"/>
        <v>5.0058273731156175</v>
      </c>
      <c r="T333" s="304">
        <f t="shared" ca="1" si="146"/>
        <v>49.107166530264209</v>
      </c>
      <c r="U333" s="311">
        <f t="shared" ca="1" si="147"/>
        <v>0</v>
      </c>
      <c r="V333" s="306">
        <f t="shared" ca="1" si="148"/>
        <v>1.1344601666910914</v>
      </c>
      <c r="W333" s="304">
        <f t="shared" ca="1" si="149"/>
        <v>322.20653688637225</v>
      </c>
      <c r="Y333" s="314" t="str">
        <f t="shared" ca="1" si="167"/>
        <v/>
      </c>
      <c r="Z333" s="315" t="str">
        <f t="shared" ca="1" si="168"/>
        <v/>
      </c>
      <c r="AA333" s="316" t="str">
        <f t="shared" ca="1" si="169"/>
        <v/>
      </c>
      <c r="AC333" s="310" t="e">
        <f t="shared" ca="1" si="170"/>
        <v>#N/A</v>
      </c>
      <c r="AD333" s="323" t="e">
        <f t="shared" ca="1" si="171"/>
        <v>#N/A</v>
      </c>
      <c r="AE333" s="324">
        <f t="shared" ca="1" si="150"/>
        <v>767.46227452427888</v>
      </c>
      <c r="AG333" s="306">
        <f t="shared" ca="1" si="172"/>
        <v>-39.1560175228052</v>
      </c>
      <c r="AH333" s="304">
        <f t="shared" ca="1" si="173"/>
        <v>-29.544472962564797</v>
      </c>
    </row>
    <row r="334" spans="1:34" x14ac:dyDescent="0.2">
      <c r="A334" s="347">
        <f t="shared" ca="1" si="151"/>
        <v>0.01</v>
      </c>
      <c r="B334" s="304">
        <f t="shared" ca="1" si="152"/>
        <v>3.2999999999999736</v>
      </c>
      <c r="D334" s="306">
        <f t="shared" ca="1" si="153"/>
        <v>-6.1117307845424769</v>
      </c>
      <c r="E334" s="307">
        <f t="shared" ca="1" si="154"/>
        <v>-39.72142241353918</v>
      </c>
      <c r="F334" s="304">
        <f t="shared" ca="1" si="155"/>
        <v>40.188862284686998</v>
      </c>
      <c r="G334" s="306">
        <f t="shared" ca="1" si="156"/>
        <v>59.169570678693312</v>
      </c>
      <c r="H334" s="307">
        <f t="shared" ca="1" si="157"/>
        <v>289.48370341882458</v>
      </c>
      <c r="I334" s="304">
        <f t="shared" ca="1" si="158"/>
        <v>295.46886915439819</v>
      </c>
      <c r="J334" s="306">
        <f t="shared" ca="1" si="159"/>
        <v>149.56308088233581</v>
      </c>
      <c r="K334" s="307">
        <f t="shared" ca="1" si="160"/>
        <v>770.35909762958784</v>
      </c>
      <c r="L334" s="304">
        <f t="shared" ca="1" si="145"/>
        <v>784.74343225266239</v>
      </c>
      <c r="M334" s="306">
        <f t="shared" ca="1" si="161"/>
        <v>1.3691765784141405</v>
      </c>
      <c r="N334" s="304">
        <f t="shared" ca="1" si="162"/>
        <v>78.448039351293062</v>
      </c>
      <c r="P334" s="310">
        <f t="shared" ca="1" si="163"/>
        <v>9</v>
      </c>
      <c r="Q334" s="304">
        <f t="shared" ca="1" si="164"/>
        <v>169.40740740742291</v>
      </c>
      <c r="R334" s="306">
        <f t="shared" ca="1" si="165"/>
        <v>8.5017684795186413E-2</v>
      </c>
      <c r="S334" s="307">
        <f t="shared" ca="1" si="166"/>
        <v>5.0049771962676655</v>
      </c>
      <c r="T334" s="304">
        <f t="shared" ca="1" si="146"/>
        <v>49.098826295385798</v>
      </c>
      <c r="U334" s="311">
        <f t="shared" ca="1" si="147"/>
        <v>0</v>
      </c>
      <c r="V334" s="306">
        <f t="shared" ca="1" si="148"/>
        <v>1.1341310949261398</v>
      </c>
      <c r="W334" s="304">
        <f t="shared" ca="1" si="149"/>
        <v>321.23964462652646</v>
      </c>
      <c r="Y334" s="314" t="str">
        <f t="shared" ca="1" si="167"/>
        <v/>
      </c>
      <c r="Z334" s="315" t="str">
        <f t="shared" ca="1" si="168"/>
        <v/>
      </c>
      <c r="AA334" s="316" t="str">
        <f t="shared" ca="1" si="169"/>
        <v/>
      </c>
      <c r="AC334" s="310" t="e">
        <f t="shared" ca="1" si="170"/>
        <v>#N/A</v>
      </c>
      <c r="AD334" s="323" t="e">
        <f t="shared" ca="1" si="171"/>
        <v>#N/A</v>
      </c>
      <c r="AE334" s="324">
        <f t="shared" ca="1" si="150"/>
        <v>770.35909762958784</v>
      </c>
      <c r="AG334" s="306">
        <f t="shared" ca="1" si="172"/>
        <v>-40.140849965883078</v>
      </c>
      <c r="AH334" s="304">
        <f t="shared" ca="1" si="173"/>
        <v>-30.529435697108752</v>
      </c>
    </row>
    <row r="335" spans="1:34" x14ac:dyDescent="0.2">
      <c r="A335" s="347">
        <f t="shared" ca="1" si="151"/>
        <v>0.01</v>
      </c>
      <c r="B335" s="304">
        <f t="shared" ca="1" si="152"/>
        <v>3.3099999999999734</v>
      </c>
      <c r="D335" s="306">
        <f t="shared" ca="1" si="153"/>
        <v>-6.3102081924332545</v>
      </c>
      <c r="E335" s="307">
        <f t="shared" ca="1" si="154"/>
        <v>-40.68232873141622</v>
      </c>
      <c r="F335" s="304">
        <f t="shared" ca="1" si="155"/>
        <v>41.168806133319748</v>
      </c>
      <c r="G335" s="306">
        <f t="shared" ca="1" si="156"/>
        <v>59.106468596768977</v>
      </c>
      <c r="H335" s="307">
        <f t="shared" ca="1" si="157"/>
        <v>289.07688013151039</v>
      </c>
      <c r="I335" s="304">
        <f t="shared" ca="1" si="158"/>
        <v>295.05765073379894</v>
      </c>
      <c r="J335" s="306">
        <f t="shared" ca="1" si="159"/>
        <v>150.15446107871313</v>
      </c>
      <c r="K335" s="307">
        <f t="shared" ca="1" si="160"/>
        <v>773.25190054733946</v>
      </c>
      <c r="L335" s="304">
        <f t="shared" ca="1" si="145"/>
        <v>787.69592095040798</v>
      </c>
      <c r="M335" s="306">
        <f t="shared" ca="1" si="161"/>
        <v>1.3691099976438017</v>
      </c>
      <c r="N335" s="304">
        <f t="shared" ca="1" si="162"/>
        <v>78.444224554155923</v>
      </c>
      <c r="P335" s="310">
        <f t="shared" ca="1" si="163"/>
        <v>9</v>
      </c>
      <c r="Q335" s="304">
        <f t="shared" ca="1" si="164"/>
        <v>163.55555555557117</v>
      </c>
      <c r="R335" s="306">
        <f t="shared" ca="1" si="165"/>
        <v>8.208091299858869E-2</v>
      </c>
      <c r="S335" s="307">
        <f t="shared" ca="1" si="166"/>
        <v>5.0041563871376793</v>
      </c>
      <c r="T335" s="304">
        <f t="shared" ca="1" si="146"/>
        <v>49.09077415782064</v>
      </c>
      <c r="U335" s="311">
        <f t="shared" ca="1" si="147"/>
        <v>0</v>
      </c>
      <c r="V335" s="306">
        <f t="shared" ca="1" si="148"/>
        <v>1.1338025714312421</v>
      </c>
      <c r="W335" s="304">
        <f t="shared" ca="1" si="149"/>
        <v>320.25330254684212</v>
      </c>
      <c r="Y335" s="314" t="str">
        <f t="shared" ca="1" si="167"/>
        <v/>
      </c>
      <c r="Z335" s="315" t="str">
        <f t="shared" ca="1" si="168"/>
        <v/>
      </c>
      <c r="AA335" s="316" t="str">
        <f t="shared" ca="1" si="169"/>
        <v/>
      </c>
      <c r="AC335" s="310" t="e">
        <f t="shared" ca="1" si="170"/>
        <v>#N/A</v>
      </c>
      <c r="AD335" s="323" t="e">
        <f t="shared" ca="1" si="171"/>
        <v>#N/A</v>
      </c>
      <c r="AE335" s="324">
        <f t="shared" ca="1" si="150"/>
        <v>773.25190054733946</v>
      </c>
      <c r="AG335" s="306">
        <f t="shared" ca="1" si="172"/>
        <v>-41.121907459437701</v>
      </c>
      <c r="AH335" s="304">
        <f t="shared" ca="1" si="173"/>
        <v>-31.510623743945139</v>
      </c>
    </row>
    <row r="336" spans="1:34" x14ac:dyDescent="0.2">
      <c r="A336" s="347">
        <f t="shared" ca="1" si="151"/>
        <v>0.01</v>
      </c>
      <c r="B336" s="304">
        <f t="shared" ca="1" si="152"/>
        <v>3.3199999999999732</v>
      </c>
      <c r="D336" s="306">
        <f t="shared" ca="1" si="153"/>
        <v>-6.5080645658621856</v>
      </c>
      <c r="E336" s="307">
        <f t="shared" ca="1" si="154"/>
        <v>-41.639528054340815</v>
      </c>
      <c r="F336" s="304">
        <f t="shared" ca="1" si="155"/>
        <v>42.145049542996944</v>
      </c>
      <c r="G336" s="306">
        <f t="shared" ca="1" si="156"/>
        <v>59.041387951110352</v>
      </c>
      <c r="H336" s="307">
        <f t="shared" ca="1" si="157"/>
        <v>288.66048485096701</v>
      </c>
      <c r="I336" s="304">
        <f t="shared" ca="1" si="158"/>
        <v>294.63665930360548</v>
      </c>
      <c r="J336" s="306">
        <f t="shared" ca="1" si="159"/>
        <v>150.74520036145253</v>
      </c>
      <c r="K336" s="307">
        <f t="shared" ca="1" si="160"/>
        <v>776.14058737225184</v>
      </c>
      <c r="L336" s="304">
        <f t="shared" ca="1" si="145"/>
        <v>790.64424793870387</v>
      </c>
      <c r="M336" s="306">
        <f t="shared" ca="1" si="161"/>
        <v>1.3690433000205331</v>
      </c>
      <c r="N336" s="304">
        <f t="shared" ca="1" si="162"/>
        <v>78.440403061839078</v>
      </c>
      <c r="P336" s="310">
        <f t="shared" ca="1" si="163"/>
        <v>9</v>
      </c>
      <c r="Q336" s="304">
        <f t="shared" ca="1" si="164"/>
        <v>157.70370370371944</v>
      </c>
      <c r="R336" s="306">
        <f t="shared" ca="1" si="165"/>
        <v>7.9144141201990981E-2</v>
      </c>
      <c r="S336" s="307">
        <f t="shared" ca="1" si="166"/>
        <v>5.003364945725659</v>
      </c>
      <c r="T336" s="304">
        <f t="shared" ca="1" si="146"/>
        <v>49.083010117568719</v>
      </c>
      <c r="U336" s="311">
        <f t="shared" ca="1" si="147"/>
        <v>0</v>
      </c>
      <c r="V336" s="306">
        <f t="shared" ca="1" si="148"/>
        <v>1.1334746066736874</v>
      </c>
      <c r="W336" s="304">
        <f t="shared" ca="1" si="149"/>
        <v>319.24770020211753</v>
      </c>
      <c r="Y336" s="314" t="str">
        <f t="shared" ca="1" si="167"/>
        <v/>
      </c>
      <c r="Z336" s="315" t="str">
        <f t="shared" ca="1" si="168"/>
        <v/>
      </c>
      <c r="AA336" s="316" t="str">
        <f t="shared" ca="1" si="169"/>
        <v/>
      </c>
      <c r="AC336" s="310" t="e">
        <f t="shared" ca="1" si="170"/>
        <v>#N/A</v>
      </c>
      <c r="AD336" s="323" t="e">
        <f t="shared" ca="1" si="171"/>
        <v>#N/A</v>
      </c>
      <c r="AE336" s="324">
        <f t="shared" ca="1" si="150"/>
        <v>776.14058737225184</v>
      </c>
      <c r="AG336" s="306">
        <f t="shared" ca="1" si="172"/>
        <v>-42.099208554981942</v>
      </c>
      <c r="AH336" s="304">
        <f t="shared" ca="1" si="173"/>
        <v>-32.48805565981904</v>
      </c>
    </row>
    <row r="337" spans="1:34" x14ac:dyDescent="0.2">
      <c r="A337" s="347">
        <f t="shared" ca="1" si="151"/>
        <v>0.01</v>
      </c>
      <c r="B337" s="304">
        <f t="shared" ca="1" si="152"/>
        <v>3.329999999999973</v>
      </c>
      <c r="D337" s="306">
        <f t="shared" ca="1" si="153"/>
        <v>-6.7053033657501064</v>
      </c>
      <c r="E337" s="307">
        <f t="shared" ca="1" si="154"/>
        <v>-42.593038946052538</v>
      </c>
      <c r="F337" s="304">
        <f t="shared" ca="1" si="155"/>
        <v>43.117607307069903</v>
      </c>
      <c r="G337" s="306">
        <f t="shared" ca="1" si="156"/>
        <v>58.97433491745285</v>
      </c>
      <c r="H337" s="307">
        <f t="shared" ca="1" si="157"/>
        <v>288.23455446150649</v>
      </c>
      <c r="I337" s="304">
        <f t="shared" ca="1" si="158"/>
        <v>294.20593223893201</v>
      </c>
      <c r="J337" s="306">
        <f t="shared" ca="1" si="159"/>
        <v>151.33527897579535</v>
      </c>
      <c r="K337" s="307">
        <f t="shared" ca="1" si="160"/>
        <v>779.02506256881418</v>
      </c>
      <c r="L337" s="304">
        <f t="shared" ca="1" si="145"/>
        <v>793.58831567319999</v>
      </c>
      <c r="M337" s="306">
        <f t="shared" ca="1" si="161"/>
        <v>1.3689764829610649</v>
      </c>
      <c r="N337" s="304">
        <f t="shared" ca="1" si="162"/>
        <v>78.436574726332069</v>
      </c>
      <c r="P337" s="310">
        <f t="shared" ca="1" si="163"/>
        <v>9</v>
      </c>
      <c r="Q337" s="304">
        <f t="shared" ca="1" si="164"/>
        <v>151.85185185186771</v>
      </c>
      <c r="R337" s="306">
        <f t="shared" ca="1" si="165"/>
        <v>7.6207369405393258E-2</v>
      </c>
      <c r="S337" s="307">
        <f t="shared" ca="1" si="166"/>
        <v>5.0026028720316047</v>
      </c>
      <c r="T337" s="304">
        <f t="shared" ca="1" si="146"/>
        <v>49.075534174630043</v>
      </c>
      <c r="U337" s="311">
        <f t="shared" ca="1" si="147"/>
        <v>0</v>
      </c>
      <c r="V337" s="306">
        <f t="shared" ca="1" si="148"/>
        <v>1.1331472110675804</v>
      </c>
      <c r="W337" s="304">
        <f t="shared" ca="1" si="149"/>
        <v>318.22302808102268</v>
      </c>
      <c r="Y337" s="314" t="str">
        <f t="shared" ca="1" si="167"/>
        <v/>
      </c>
      <c r="Z337" s="315" t="str">
        <f t="shared" ca="1" si="168"/>
        <v/>
      </c>
      <c r="AA337" s="316" t="str">
        <f t="shared" ca="1" si="169"/>
        <v/>
      </c>
      <c r="AC337" s="310" t="e">
        <f t="shared" ca="1" si="170"/>
        <v>#N/A</v>
      </c>
      <c r="AD337" s="323" t="e">
        <f t="shared" ca="1" si="171"/>
        <v>#N/A</v>
      </c>
      <c r="AE337" s="324">
        <f t="shared" ca="1" si="150"/>
        <v>779.02506256881418</v>
      </c>
      <c r="AG337" s="306">
        <f t="shared" ca="1" si="172"/>
        <v>-43.072772141750548</v>
      </c>
      <c r="AH337" s="304">
        <f t="shared" ca="1" si="173"/>
        <v>-33.461750339232658</v>
      </c>
    </row>
    <row r="338" spans="1:34" x14ac:dyDescent="0.2">
      <c r="A338" s="347">
        <f t="shared" ca="1" si="151"/>
        <v>0.01</v>
      </c>
      <c r="B338" s="304">
        <f t="shared" ca="1" si="152"/>
        <v>3.3399999999999728</v>
      </c>
      <c r="D338" s="306">
        <f t="shared" ca="1" si="153"/>
        <v>-6.9019281318752013</v>
      </c>
      <c r="E338" s="307">
        <f t="shared" ca="1" si="154"/>
        <v>-43.542880291078149</v>
      </c>
      <c r="F338" s="304">
        <f t="shared" ca="1" si="155"/>
        <v>44.086494938708071</v>
      </c>
      <c r="G338" s="306">
        <f t="shared" ca="1" si="156"/>
        <v>58.905315636134098</v>
      </c>
      <c r="H338" s="307">
        <f t="shared" ca="1" si="157"/>
        <v>287.7991256585957</v>
      </c>
      <c r="I338" s="304">
        <f t="shared" ca="1" si="158"/>
        <v>293.76550672270008</v>
      </c>
      <c r="J338" s="306">
        <f t="shared" ca="1" si="159"/>
        <v>151.92467722856327</v>
      </c>
      <c r="K338" s="307">
        <f t="shared" ca="1" si="160"/>
        <v>781.90523096941467</v>
      </c>
      <c r="L338" s="304">
        <f t="shared" ca="1" si="145"/>
        <v>796.52802698231335</v>
      </c>
      <c r="M338" s="306">
        <f t="shared" ca="1" si="161"/>
        <v>1.3689095438665198</v>
      </c>
      <c r="N338" s="304">
        <f t="shared" ca="1" si="162"/>
        <v>78.432739398730206</v>
      </c>
      <c r="P338" s="310">
        <f t="shared" ca="1" si="163"/>
        <v>9</v>
      </c>
      <c r="Q338" s="304">
        <f t="shared" ca="1" si="164"/>
        <v>146.00000000001597</v>
      </c>
      <c r="R338" s="306">
        <f t="shared" ca="1" si="165"/>
        <v>7.3270597608795549E-2</v>
      </c>
      <c r="S338" s="307">
        <f t="shared" ca="1" si="166"/>
        <v>5.0018701660555172</v>
      </c>
      <c r="T338" s="304">
        <f t="shared" ca="1" si="146"/>
        <v>49.068346329004626</v>
      </c>
      <c r="U338" s="311">
        <f t="shared" ca="1" si="147"/>
        <v>0</v>
      </c>
      <c r="V338" s="306">
        <f t="shared" ca="1" si="148"/>
        <v>1.1328203949741664</v>
      </c>
      <c r="W338" s="304">
        <f t="shared" ca="1" si="149"/>
        <v>317.17947757263926</v>
      </c>
      <c r="Y338" s="314" t="str">
        <f t="shared" ca="1" si="167"/>
        <v/>
      </c>
      <c r="Z338" s="315" t="str">
        <f t="shared" ca="1" si="168"/>
        <v/>
      </c>
      <c r="AA338" s="316" t="str">
        <f t="shared" ca="1" si="169"/>
        <v/>
      </c>
      <c r="AC338" s="310" t="e">
        <f t="shared" ca="1" si="170"/>
        <v>#N/A</v>
      </c>
      <c r="AD338" s="323" t="e">
        <f t="shared" ca="1" si="171"/>
        <v>#N/A</v>
      </c>
      <c r="AE338" s="324">
        <f t="shared" ca="1" si="150"/>
        <v>781.90523096941467</v>
      </c>
      <c r="AG338" s="306">
        <f t="shared" ca="1" si="172"/>
        <v>-44.042617439038679</v>
      </c>
      <c r="AH338" s="304">
        <f t="shared" ca="1" si="173"/>
        <v>-34.43172700678516</v>
      </c>
    </row>
    <row r="339" spans="1:34" x14ac:dyDescent="0.2">
      <c r="A339" s="347">
        <f t="shared" ca="1" si="151"/>
        <v>0.01</v>
      </c>
      <c r="B339" s="304">
        <f t="shared" ca="1" si="152"/>
        <v>3.3499999999999726</v>
      </c>
      <c r="D339" s="306">
        <f t="shared" ca="1" si="153"/>
        <v>-7.0979424814825132</v>
      </c>
      <c r="E339" s="307">
        <f t="shared" ca="1" si="154"/>
        <v>-44.489071287287601</v>
      </c>
      <c r="F339" s="304">
        <f t="shared" ca="1" si="155"/>
        <v>45.051728618065169</v>
      </c>
      <c r="G339" s="306">
        <f t="shared" ca="1" si="156"/>
        <v>58.834336211319275</v>
      </c>
      <c r="H339" s="307">
        <f t="shared" ca="1" si="157"/>
        <v>287.35423494572285</v>
      </c>
      <c r="I339" s="304">
        <f t="shared" ca="1" si="158"/>
        <v>293.31541974241355</v>
      </c>
      <c r="J339" s="306">
        <f t="shared" ca="1" si="159"/>
        <v>152.51337548780054</v>
      </c>
      <c r="K339" s="307">
        <f t="shared" ca="1" si="160"/>
        <v>784.78099777243631</v>
      </c>
      <c r="L339" s="304">
        <f t="shared" ca="1" si="145"/>
        <v>799.46328506528891</v>
      </c>
      <c r="M339" s="306">
        <f t="shared" ca="1" si="161"/>
        <v>1.3688424801218146</v>
      </c>
      <c r="N339" s="304">
        <f t="shared" ca="1" si="162"/>
        <v>78.428896929200263</v>
      </c>
      <c r="P339" s="310">
        <f t="shared" ca="1" si="163"/>
        <v>9</v>
      </c>
      <c r="Q339" s="304">
        <f t="shared" ca="1" si="164"/>
        <v>140.14814814816427</v>
      </c>
      <c r="R339" s="306">
        <f t="shared" ca="1" si="165"/>
        <v>7.0333825812197839E-2</v>
      </c>
      <c r="S339" s="307">
        <f t="shared" ca="1" si="166"/>
        <v>5.0011668277973955</v>
      </c>
      <c r="T339" s="304">
        <f t="shared" ca="1" si="146"/>
        <v>49.061446580692454</v>
      </c>
      <c r="U339" s="311">
        <f t="shared" ca="1" si="147"/>
        <v>0</v>
      </c>
      <c r="V339" s="306">
        <f t="shared" ca="1" si="148"/>
        <v>1.132494168702161</v>
      </c>
      <c r="W339" s="304">
        <f t="shared" ca="1" si="149"/>
        <v>316.11724093364199</v>
      </c>
      <c r="Y339" s="314" t="str">
        <f t="shared" ca="1" si="167"/>
        <v/>
      </c>
      <c r="Z339" s="315" t="str">
        <f t="shared" ca="1" si="168"/>
        <v/>
      </c>
      <c r="AA339" s="316" t="str">
        <f t="shared" ca="1" si="169"/>
        <v/>
      </c>
      <c r="AC339" s="310" t="e">
        <f t="shared" ca="1" si="170"/>
        <v>#N/A</v>
      </c>
      <c r="AD339" s="323" t="e">
        <f t="shared" ca="1" si="171"/>
        <v>#N/A</v>
      </c>
      <c r="AE339" s="324">
        <f t="shared" ca="1" si="150"/>
        <v>784.78099777243631</v>
      </c>
      <c r="AG339" s="306">
        <f t="shared" ca="1" si="172"/>
        <v>-45.008763988632893</v>
      </c>
      <c r="AH339" s="304">
        <f t="shared" ca="1" si="173"/>
        <v>-35.398005209604811</v>
      </c>
    </row>
    <row r="340" spans="1:34" x14ac:dyDescent="0.2">
      <c r="A340" s="347">
        <f t="shared" ca="1" si="151"/>
        <v>0.01</v>
      </c>
      <c r="B340" s="304">
        <f t="shared" ca="1" si="152"/>
        <v>3.3599999999999723</v>
      </c>
      <c r="D340" s="306">
        <f t="shared" ca="1" si="153"/>
        <v>-7.2933501079136009</v>
      </c>
      <c r="E340" s="307">
        <f t="shared" ca="1" si="154"/>
        <v>-45.431631438540933</v>
      </c>
      <c r="F340" s="304">
        <f t="shared" ca="1" si="155"/>
        <v>46.013325145701259</v>
      </c>
      <c r="G340" s="306">
        <f t="shared" ca="1" si="156"/>
        <v>58.761402710240141</v>
      </c>
      <c r="H340" s="307">
        <f t="shared" ca="1" si="157"/>
        <v>286.89991863133741</v>
      </c>
      <c r="I340" s="304">
        <f t="shared" ca="1" si="158"/>
        <v>292.85570808700834</v>
      </c>
      <c r="J340" s="306">
        <f t="shared" ca="1" si="159"/>
        <v>153.10135418240833</v>
      </c>
      <c r="K340" s="307">
        <f t="shared" ca="1" si="160"/>
        <v>787.65226854032164</v>
      </c>
      <c r="L340" s="304">
        <f t="shared" ca="1" si="145"/>
        <v>802.39399349023176</v>
      </c>
      <c r="M340" s="306">
        <f t="shared" ca="1" si="161"/>
        <v>1.3687752890950569</v>
      </c>
      <c r="N340" s="304">
        <f t="shared" ca="1" si="162"/>
        <v>78.425047166945888</v>
      </c>
      <c r="P340" s="310">
        <f t="shared" ca="1" si="163"/>
        <v>9</v>
      </c>
      <c r="Q340" s="304">
        <f t="shared" ca="1" si="164"/>
        <v>134.29629629631253</v>
      </c>
      <c r="R340" s="306">
        <f t="shared" ca="1" si="165"/>
        <v>6.739705401560013E-2</v>
      </c>
      <c r="S340" s="307">
        <f t="shared" ca="1" si="166"/>
        <v>5.0004928572572398</v>
      </c>
      <c r="T340" s="304">
        <f t="shared" ca="1" si="146"/>
        <v>49.054834929693527</v>
      </c>
      <c r="U340" s="311">
        <f t="shared" ca="1" si="147"/>
        <v>0</v>
      </c>
      <c r="V340" s="306">
        <f t="shared" ca="1" si="148"/>
        <v>1.1321685425080814</v>
      </c>
      <c r="W340" s="304">
        <f t="shared" ca="1" si="149"/>
        <v>315.03651125611759</v>
      </c>
      <c r="Y340" s="314" t="str">
        <f t="shared" ca="1" si="167"/>
        <v/>
      </c>
      <c r="Z340" s="315" t="str">
        <f t="shared" ca="1" si="168"/>
        <v/>
      </c>
      <c r="AA340" s="316" t="str">
        <f t="shared" ca="1" si="169"/>
        <v/>
      </c>
      <c r="AC340" s="310" t="e">
        <f t="shared" ca="1" si="170"/>
        <v>#N/A</v>
      </c>
      <c r="AD340" s="323" t="e">
        <f t="shared" ca="1" si="171"/>
        <v>#N/A</v>
      </c>
      <c r="AE340" s="324">
        <f t="shared" ca="1" si="150"/>
        <v>787.65226854032164</v>
      </c>
      <c r="AG340" s="306">
        <f t="shared" ca="1" si="172"/>
        <v>-45.971231647335138</v>
      </c>
      <c r="AH340" s="304">
        <f t="shared" ca="1" si="173"/>
        <v>-36.36060480987426</v>
      </c>
    </row>
    <row r="341" spans="1:34" x14ac:dyDescent="0.2">
      <c r="A341" s="347">
        <f t="shared" ca="1" si="151"/>
        <v>0.01</v>
      </c>
      <c r="B341" s="304">
        <f t="shared" ca="1" si="152"/>
        <v>3.3699999999999721</v>
      </c>
      <c r="D341" s="306">
        <f t="shared" ca="1" si="153"/>
        <v>-7.4881547792562406</v>
      </c>
      <c r="E341" s="307">
        <f t="shared" ca="1" si="154"/>
        <v>-46.370580547426059</v>
      </c>
      <c r="F341" s="304">
        <f t="shared" ca="1" si="155"/>
        <v>46.971301901303796</v>
      </c>
      <c r="G341" s="306">
        <f t="shared" ca="1" si="156"/>
        <v>58.686521162447576</v>
      </c>
      <c r="H341" s="307">
        <f t="shared" ca="1" si="157"/>
        <v>286.43621282586315</v>
      </c>
      <c r="I341" s="304">
        <f t="shared" ca="1" si="158"/>
        <v>292.38640834377645</v>
      </c>
      <c r="J341" s="306">
        <f t="shared" ca="1" si="159"/>
        <v>153.68859380177176</v>
      </c>
      <c r="K341" s="307">
        <f t="shared" ca="1" si="160"/>
        <v>790.51894919760764</v>
      </c>
      <c r="L341" s="304">
        <f t="shared" ca="1" si="145"/>
        <v>805.32005619210543</v>
      </c>
      <c r="M341" s="306">
        <f t="shared" ca="1" si="161"/>
        <v>1.368707968136931</v>
      </c>
      <c r="N341" s="304">
        <f t="shared" ca="1" si="162"/>
        <v>78.421189960172498</v>
      </c>
      <c r="P341" s="310">
        <f t="shared" ca="1" si="163"/>
        <v>9</v>
      </c>
      <c r="Q341" s="304">
        <f t="shared" ca="1" si="164"/>
        <v>128.44444444446083</v>
      </c>
      <c r="R341" s="306">
        <f t="shared" ca="1" si="165"/>
        <v>6.4460282219002421E-2</v>
      </c>
      <c r="S341" s="307">
        <f t="shared" ca="1" si="166"/>
        <v>4.99984825443505</v>
      </c>
      <c r="T341" s="304">
        <f t="shared" ca="1" si="146"/>
        <v>49.048511376007845</v>
      </c>
      <c r="U341" s="311">
        <f t="shared" ca="1" si="147"/>
        <v>0</v>
      </c>
      <c r="V341" s="306">
        <f t="shared" ca="1" si="148"/>
        <v>1.131843526596584</v>
      </c>
      <c r="W341" s="304">
        <f t="shared" ca="1" si="149"/>
        <v>313.93748243602329</v>
      </c>
      <c r="Y341" s="314" t="str">
        <f t="shared" ca="1" si="167"/>
        <v/>
      </c>
      <c r="Z341" s="315" t="str">
        <f t="shared" ca="1" si="168"/>
        <v/>
      </c>
      <c r="AA341" s="316" t="str">
        <f t="shared" ca="1" si="169"/>
        <v/>
      </c>
      <c r="AC341" s="310" t="e">
        <f t="shared" ca="1" si="170"/>
        <v>#N/A</v>
      </c>
      <c r="AD341" s="323" t="e">
        <f t="shared" ca="1" si="171"/>
        <v>#N/A</v>
      </c>
      <c r="AE341" s="324">
        <f t="shared" ca="1" si="150"/>
        <v>790.51894919760764</v>
      </c>
      <c r="AG341" s="306">
        <f t="shared" ca="1" si="172"/>
        <v>-46.930040579579874</v>
      </c>
      <c r="AH341" s="304">
        <f t="shared" ca="1" si="173"/>
        <v>-37.319545977448961</v>
      </c>
    </row>
    <row r="342" spans="1:34" x14ac:dyDescent="0.2">
      <c r="A342" s="347">
        <f t="shared" ca="1" si="151"/>
        <v>0.01</v>
      </c>
      <c r="B342" s="304">
        <f t="shared" ca="1" si="152"/>
        <v>3.3799999999999719</v>
      </c>
      <c r="D342" s="306">
        <f t="shared" ca="1" si="153"/>
        <v>-7.6823603370147175</v>
      </c>
      <c r="E342" s="307">
        <f t="shared" ca="1" si="154"/>
        <v>-47.305938708089244</v>
      </c>
      <c r="F342" s="304">
        <f t="shared" ca="1" si="155"/>
        <v>47.925676806918787</v>
      </c>
      <c r="G342" s="306">
        <f t="shared" ca="1" si="156"/>
        <v>58.609697559077432</v>
      </c>
      <c r="H342" s="307">
        <f t="shared" ca="1" si="157"/>
        <v>285.96315343878229</v>
      </c>
      <c r="I342" s="304">
        <f t="shared" ca="1" si="158"/>
        <v>291.90755689536212</v>
      </c>
      <c r="J342" s="306">
        <f t="shared" ca="1" si="159"/>
        <v>154.27507489537939</v>
      </c>
      <c r="K342" s="307">
        <f t="shared" ca="1" si="160"/>
        <v>793.38094602893091</v>
      </c>
      <c r="L342" s="304">
        <f t="shared" ca="1" si="145"/>
        <v>808.24137747070108</v>
      </c>
      <c r="M342" s="306">
        <f t="shared" ca="1" si="161"/>
        <v>1.3686405145800769</v>
      </c>
      <c r="N342" s="304">
        <f t="shared" ca="1" si="162"/>
        <v>78.417325156051618</v>
      </c>
      <c r="P342" s="310">
        <f t="shared" ca="1" si="163"/>
        <v>9</v>
      </c>
      <c r="Q342" s="304">
        <f t="shared" ca="1" si="164"/>
        <v>122.59259259260908</v>
      </c>
      <c r="R342" s="306">
        <f t="shared" ca="1" si="165"/>
        <v>6.1523510422404705E-2</v>
      </c>
      <c r="S342" s="307">
        <f t="shared" ca="1" si="166"/>
        <v>4.9992330193308261</v>
      </c>
      <c r="T342" s="304">
        <f t="shared" ca="1" si="146"/>
        <v>49.042475919635407</v>
      </c>
      <c r="U342" s="311">
        <f t="shared" ca="1" si="147"/>
        <v>0</v>
      </c>
      <c r="V342" s="306">
        <f t="shared" ca="1" si="148"/>
        <v>1.1315191311208053</v>
      </c>
      <c r="W342" s="304">
        <f t="shared" ca="1" si="149"/>
        <v>312.82034914227694</v>
      </c>
      <c r="Y342" s="314" t="str">
        <f t="shared" ca="1" si="167"/>
        <v/>
      </c>
      <c r="Z342" s="315" t="str">
        <f t="shared" ca="1" si="168"/>
        <v/>
      </c>
      <c r="AA342" s="316" t="str">
        <f t="shared" ca="1" si="169"/>
        <v/>
      </c>
      <c r="AC342" s="310" t="e">
        <f t="shared" ca="1" si="170"/>
        <v>#N/A</v>
      </c>
      <c r="AD342" s="323" t="e">
        <f t="shared" ca="1" si="171"/>
        <v>#N/A</v>
      </c>
      <c r="AE342" s="324">
        <f t="shared" ca="1" si="150"/>
        <v>793.38094602893091</v>
      </c>
      <c r="AG342" s="306">
        <f t="shared" ca="1" si="172"/>
        <v>-47.88521125014622</v>
      </c>
      <c r="AH342" s="304">
        <f t="shared" ca="1" si="173"/>
        <v>-38.274849182570556</v>
      </c>
    </row>
    <row r="343" spans="1:34" x14ac:dyDescent="0.2">
      <c r="A343" s="347">
        <f t="shared" ca="1" si="151"/>
        <v>0.01</v>
      </c>
      <c r="B343" s="304">
        <f t="shared" ca="1" si="152"/>
        <v>3.3899999999999717</v>
      </c>
      <c r="D343" s="306">
        <f t="shared" ca="1" si="153"/>
        <v>-7.8759706948005732</v>
      </c>
      <c r="E343" s="307">
        <f t="shared" ca="1" si="154"/>
        <v>-48.237726299157188</v>
      </c>
      <c r="F343" s="304">
        <f t="shared" ca="1" si="155"/>
        <v>48.876468294034488</v>
      </c>
      <c r="G343" s="306">
        <f t="shared" ca="1" si="156"/>
        <v>58.530937852129426</v>
      </c>
      <c r="H343" s="307">
        <f t="shared" ca="1" si="157"/>
        <v>285.48077617579071</v>
      </c>
      <c r="I343" s="304">
        <f t="shared" ca="1" si="158"/>
        <v>291.41918991683053</v>
      </c>
      <c r="J343" s="306">
        <f t="shared" ca="1" si="159"/>
        <v>154.86077807243544</v>
      </c>
      <c r="K343" s="307">
        <f t="shared" ca="1" si="160"/>
        <v>796.23816567700374</v>
      </c>
      <c r="L343" s="304">
        <f t="shared" ca="1" si="145"/>
        <v>811.15786198857734</v>
      </c>
      <c r="M343" s="306">
        <f t="shared" ca="1" si="161"/>
        <v>1.3685729257384598</v>
      </c>
      <c r="N343" s="304">
        <f t="shared" ca="1" si="162"/>
        <v>78.413452600684778</v>
      </c>
      <c r="P343" s="310">
        <f t="shared" ca="1" si="163"/>
        <v>9</v>
      </c>
      <c r="Q343" s="304">
        <f t="shared" ca="1" si="164"/>
        <v>116.74074074075736</v>
      </c>
      <c r="R343" s="306">
        <f t="shared" ca="1" si="165"/>
        <v>5.8586738625806996E-2</v>
      </c>
      <c r="S343" s="307">
        <f t="shared" ca="1" si="166"/>
        <v>4.9986471519445681</v>
      </c>
      <c r="T343" s="304">
        <f t="shared" ca="1" si="146"/>
        <v>49.036728560576215</v>
      </c>
      <c r="U343" s="311">
        <f t="shared" ca="1" si="147"/>
        <v>0</v>
      </c>
      <c r="V343" s="306">
        <f t="shared" ca="1" si="148"/>
        <v>1.1311953661827014</v>
      </c>
      <c r="W343" s="304">
        <f t="shared" ca="1" si="149"/>
        <v>311.68530678647943</v>
      </c>
      <c r="Y343" s="314" t="str">
        <f t="shared" ca="1" si="167"/>
        <v/>
      </c>
      <c r="Z343" s="315" t="str">
        <f t="shared" ca="1" si="168"/>
        <v/>
      </c>
      <c r="AA343" s="316" t="str">
        <f t="shared" ca="1" si="169"/>
        <v/>
      </c>
      <c r="AC343" s="310" t="e">
        <f t="shared" ca="1" si="170"/>
        <v>#N/A</v>
      </c>
      <c r="AD343" s="323" t="e">
        <f t="shared" ca="1" si="171"/>
        <v>#N/A</v>
      </c>
      <c r="AE343" s="324">
        <f t="shared" ca="1" si="150"/>
        <v>796.23816567700374</v>
      </c>
      <c r="AG343" s="306">
        <f t="shared" ca="1" si="172"/>
        <v>-48.836764416963909</v>
      </c>
      <c r="AH343" s="304">
        <f t="shared" ca="1" si="173"/>
        <v>-39.226535188674184</v>
      </c>
    </row>
    <row r="344" spans="1:34" x14ac:dyDescent="0.2">
      <c r="A344" s="347">
        <f t="shared" ca="1" si="151"/>
        <v>0.01</v>
      </c>
      <c r="B344" s="304">
        <f t="shared" ca="1" si="152"/>
        <v>3.3999999999999715</v>
      </c>
      <c r="D344" s="306">
        <f t="shared" ca="1" si="153"/>
        <v>-8.068989837044116</v>
      </c>
      <c r="E344" s="307">
        <f t="shared" ca="1" si="154"/>
        <v>-49.16596397675211</v>
      </c>
      <c r="F344" s="304">
        <f t="shared" ca="1" si="155"/>
        <v>49.823695273971872</v>
      </c>
      <c r="G344" s="306">
        <f t="shared" ca="1" si="156"/>
        <v>58.450247953758982</v>
      </c>
      <c r="H344" s="307">
        <f t="shared" ca="1" si="157"/>
        <v>284.98911653602318</v>
      </c>
      <c r="I344" s="304">
        <f t="shared" ca="1" si="158"/>
        <v>290.92134337280743</v>
      </c>
      <c r="J344" s="306">
        <f t="shared" ca="1" si="159"/>
        <v>155.44568400146488</v>
      </c>
      <c r="K344" s="307">
        <f t="shared" ca="1" si="160"/>
        <v>799.09051514056284</v>
      </c>
      <c r="L344" s="304">
        <f t="shared" ca="1" si="145"/>
        <v>814.06941476896998</v>
      </c>
      <c r="M344" s="306">
        <f t="shared" ca="1" si="161"/>
        <v>1.3685051989067301</v>
      </c>
      <c r="N344" s="304">
        <f t="shared" ca="1" si="162"/>
        <v>78.409572139066867</v>
      </c>
      <c r="P344" s="310">
        <f t="shared" ca="1" si="163"/>
        <v>9</v>
      </c>
      <c r="Q344" s="304">
        <f t="shared" ca="1" si="164"/>
        <v>110.88888888890563</v>
      </c>
      <c r="R344" s="306">
        <f t="shared" ca="1" si="165"/>
        <v>5.564996682920928E-2</v>
      </c>
      <c r="S344" s="307">
        <f t="shared" ca="1" si="166"/>
        <v>4.998090652276276</v>
      </c>
      <c r="T344" s="304">
        <f t="shared" ca="1" si="146"/>
        <v>49.031269298830267</v>
      </c>
      <c r="U344" s="311">
        <f t="shared" ca="1" si="147"/>
        <v>0</v>
      </c>
      <c r="V344" s="306">
        <f t="shared" ca="1" si="148"/>
        <v>1.1308722418333996</v>
      </c>
      <c r="W344" s="304">
        <f t="shared" ca="1" si="149"/>
        <v>310.53255149326753</v>
      </c>
      <c r="Y344" s="314" t="str">
        <f t="shared" ca="1" si="167"/>
        <v/>
      </c>
      <c r="Z344" s="315" t="str">
        <f t="shared" ca="1" si="168"/>
        <v/>
      </c>
      <c r="AA344" s="316" t="str">
        <f t="shared" ca="1" si="169"/>
        <v/>
      </c>
      <c r="AC344" s="310" t="e">
        <f t="shared" ca="1" si="170"/>
        <v>#N/A</v>
      </c>
      <c r="AD344" s="323" t="e">
        <f t="shared" ca="1" si="171"/>
        <v>#N/A</v>
      </c>
      <c r="AE344" s="324">
        <f t="shared" ca="1" si="150"/>
        <v>799.09051514056284</v>
      </c>
      <c r="AG344" s="306">
        <f t="shared" ca="1" si="172"/>
        <v>-49.784721124014581</v>
      </c>
      <c r="AH344" s="304">
        <f t="shared" ca="1" si="173"/>
        <v>-40.174625045291101</v>
      </c>
    </row>
    <row r="345" spans="1:34" x14ac:dyDescent="0.2">
      <c r="A345" s="347">
        <f t="shared" ca="1" si="151"/>
        <v>0.01</v>
      </c>
      <c r="B345" s="304">
        <f t="shared" ca="1" si="152"/>
        <v>3.4099999999999713</v>
      </c>
      <c r="D345" s="306">
        <f t="shared" ca="1" si="153"/>
        <v>-8.2614218177269745</v>
      </c>
      <c r="E345" s="307">
        <f t="shared" ca="1" si="154"/>
        <v>-50.090672667600273</v>
      </c>
      <c r="F345" s="304">
        <f t="shared" ca="1" si="155"/>
        <v>50.767377111124148</v>
      </c>
      <c r="G345" s="306">
        <f t="shared" ca="1" si="156"/>
        <v>58.367633735581713</v>
      </c>
      <c r="H345" s="307">
        <f t="shared" ca="1" si="157"/>
        <v>284.48820980934715</v>
      </c>
      <c r="I345" s="304">
        <f t="shared" ca="1" si="158"/>
        <v>290.41405301468819</v>
      </c>
      <c r="J345" s="306">
        <f t="shared" ca="1" si="159"/>
        <v>156.0297734099116</v>
      </c>
      <c r="K345" s="307">
        <f t="shared" ca="1" si="160"/>
        <v>801.93790177228971</v>
      </c>
      <c r="L345" s="304">
        <f t="shared" ca="1" si="145"/>
        <v>816.97594119367488</v>
      </c>
      <c r="M345" s="306">
        <f t="shared" ca="1" si="161"/>
        <v>1.3684373313595743</v>
      </c>
      <c r="N345" s="304">
        <f t="shared" ca="1" si="162"/>
        <v>78.405683615048943</v>
      </c>
      <c r="P345" s="310">
        <f t="shared" ca="1" si="163"/>
        <v>9</v>
      </c>
      <c r="Q345" s="304">
        <f t="shared" ca="1" si="164"/>
        <v>105.03703703705391</v>
      </c>
      <c r="R345" s="306">
        <f t="shared" ca="1" si="165"/>
        <v>5.2713195032611571E-2</v>
      </c>
      <c r="S345" s="307">
        <f t="shared" ca="1" si="166"/>
        <v>4.9975635203259499</v>
      </c>
      <c r="T345" s="304">
        <f t="shared" ca="1" si="146"/>
        <v>49.026098134397571</v>
      </c>
      <c r="U345" s="311">
        <f t="shared" ca="1" si="147"/>
        <v>0</v>
      </c>
      <c r="V345" s="306">
        <f t="shared" ca="1" si="148"/>
        <v>1.130549768073545</v>
      </c>
      <c r="W345" s="304">
        <f t="shared" ca="1" si="149"/>
        <v>309.36228007128881</v>
      </c>
      <c r="Y345" s="314" t="str">
        <f t="shared" ca="1" si="167"/>
        <v/>
      </c>
      <c r="Z345" s="315" t="str">
        <f t="shared" ca="1" si="168"/>
        <v/>
      </c>
      <c r="AA345" s="316" t="str">
        <f t="shared" ca="1" si="169"/>
        <v/>
      </c>
      <c r="AC345" s="310" t="e">
        <f t="shared" ca="1" si="170"/>
        <v>#N/A</v>
      </c>
      <c r="AD345" s="323" t="e">
        <f t="shared" ca="1" si="171"/>
        <v>#N/A</v>
      </c>
      <c r="AE345" s="324">
        <f t="shared" ca="1" si="150"/>
        <v>801.93790177228971</v>
      </c>
      <c r="AG345" s="306">
        <f t="shared" ca="1" si="172"/>
        <v>-50.72910269432888</v>
      </c>
      <c r="AH345" s="304">
        <f t="shared" ca="1" si="173"/>
        <v>-41.119140081047107</v>
      </c>
    </row>
    <row r="346" spans="1:34" x14ac:dyDescent="0.2">
      <c r="A346" s="347">
        <f t="shared" ca="1" si="151"/>
        <v>0.01</v>
      </c>
      <c r="B346" s="304">
        <f t="shared" ca="1" si="152"/>
        <v>3.4199999999999711</v>
      </c>
      <c r="D346" s="306">
        <f t="shared" ca="1" si="153"/>
        <v>-8.4532707591355347</v>
      </c>
      <c r="E346" s="307">
        <f t="shared" ca="1" si="154"/>
        <v>-51.011873562233127</v>
      </c>
      <c r="F346" s="304">
        <f t="shared" ca="1" si="155"/>
        <v>51.70753359865963</v>
      </c>
      <c r="G346" s="306">
        <f t="shared" ca="1" si="156"/>
        <v>58.283101027990355</v>
      </c>
      <c r="H346" s="307">
        <f t="shared" ca="1" si="157"/>
        <v>283.97809107372484</v>
      </c>
      <c r="I346" s="304">
        <f t="shared" ca="1" si="158"/>
        <v>289.89735437791717</v>
      </c>
      <c r="J346" s="306">
        <f t="shared" ca="1" si="159"/>
        <v>156.61302708372946</v>
      </c>
      <c r="K346" s="307">
        <f t="shared" ca="1" si="160"/>
        <v>804.78023327670508</v>
      </c>
      <c r="L346" s="304">
        <f t="shared" ca="1" si="145"/>
        <v>819.87734700090152</v>
      </c>
      <c r="M346" s="306">
        <f t="shared" ca="1" si="161"/>
        <v>1.3683693203510552</v>
      </c>
      <c r="N346" s="304">
        <f t="shared" ca="1" si="162"/>
        <v>78.401786871300374</v>
      </c>
      <c r="P346" s="310">
        <f t="shared" ca="1" si="163"/>
        <v>9</v>
      </c>
      <c r="Q346" s="304">
        <f t="shared" ca="1" si="164"/>
        <v>99.185185185202172</v>
      </c>
      <c r="R346" s="306">
        <f t="shared" ca="1" si="165"/>
        <v>4.9776423236013854E-2</v>
      </c>
      <c r="S346" s="307">
        <f t="shared" ca="1" si="166"/>
        <v>4.9970657560935896</v>
      </c>
      <c r="T346" s="304">
        <f t="shared" ca="1" si="146"/>
        <v>49.021215067278114</v>
      </c>
      <c r="U346" s="311">
        <f t="shared" ca="1" si="147"/>
        <v>0</v>
      </c>
      <c r="V346" s="306">
        <f t="shared" ca="1" si="148"/>
        <v>1.1302279548536529</v>
      </c>
      <c r="W346" s="304">
        <f t="shared" ca="1" si="149"/>
        <v>308.17468998480268</v>
      </c>
      <c r="Y346" s="314" t="str">
        <f t="shared" ca="1" si="167"/>
        <v/>
      </c>
      <c r="Z346" s="315" t="str">
        <f t="shared" ca="1" si="168"/>
        <v/>
      </c>
      <c r="AA346" s="316" t="str">
        <f t="shared" ca="1" si="169"/>
        <v/>
      </c>
      <c r="AC346" s="310" t="e">
        <f t="shared" ca="1" si="170"/>
        <v>#N/A</v>
      </c>
      <c r="AD346" s="323" t="e">
        <f t="shared" ca="1" si="171"/>
        <v>#N/A</v>
      </c>
      <c r="AE346" s="324">
        <f t="shared" ca="1" si="150"/>
        <v>804.78023327670508</v>
      </c>
      <c r="AG346" s="306">
        <f t="shared" ca="1" si="172"/>
        <v>-51.669930723078515</v>
      </c>
      <c r="AH346" s="304">
        <f t="shared" ca="1" si="173"/>
        <v>-42.060101896756038</v>
      </c>
    </row>
    <row r="347" spans="1:34" x14ac:dyDescent="0.2">
      <c r="A347" s="347">
        <f t="shared" ca="1" si="151"/>
        <v>0.01</v>
      </c>
      <c r="B347" s="304">
        <f t="shared" ca="1" si="152"/>
        <v>3.4299999999999708</v>
      </c>
      <c r="D347" s="306">
        <f t="shared" ca="1" si="153"/>
        <v>-8.644540850635833</v>
      </c>
      <c r="E347" s="307">
        <f t="shared" ca="1" si="154"/>
        <v>-51.929588108282957</v>
      </c>
      <c r="F347" s="304">
        <f t="shared" ca="1" si="155"/>
        <v>52.644184936365328</v>
      </c>
      <c r="G347" s="306">
        <f t="shared" ca="1" si="156"/>
        <v>58.196655619483998</v>
      </c>
      <c r="H347" s="307">
        <f t="shared" ca="1" si="157"/>
        <v>283.45879519264201</v>
      </c>
      <c r="I347" s="304">
        <f t="shared" ca="1" si="158"/>
        <v>289.37128277933351</v>
      </c>
      <c r="J347" s="306">
        <f t="shared" ca="1" si="159"/>
        <v>157.19542586696684</v>
      </c>
      <c r="K347" s="307">
        <f t="shared" ca="1" si="160"/>
        <v>807.6174177080369</v>
      </c>
      <c r="L347" s="304">
        <f t="shared" ca="1" si="145"/>
        <v>822.77353828310174</v>
      </c>
      <c r="M347" s="306">
        <f t="shared" ca="1" si="161"/>
        <v>1.3683011631139419</v>
      </c>
      <c r="N347" s="304">
        <f t="shared" ca="1" si="162"/>
        <v>78.39788174927051</v>
      </c>
      <c r="P347" s="310">
        <f t="shared" ca="1" si="163"/>
        <v>9</v>
      </c>
      <c r="Q347" s="304">
        <f t="shared" ca="1" si="164"/>
        <v>93.333333333350453</v>
      </c>
      <c r="R347" s="306">
        <f t="shared" ca="1" si="165"/>
        <v>4.6839651439416145E-2</v>
      </c>
      <c r="S347" s="307">
        <f t="shared" ca="1" si="166"/>
        <v>4.9965973595791953</v>
      </c>
      <c r="T347" s="304">
        <f t="shared" ca="1" si="146"/>
        <v>49.016620097471908</v>
      </c>
      <c r="U347" s="311">
        <f t="shared" ca="1" si="147"/>
        <v>0</v>
      </c>
      <c r="V347" s="306">
        <f t="shared" ca="1" si="148"/>
        <v>1.1299068120744677</v>
      </c>
      <c r="W347" s="304">
        <f t="shared" ca="1" si="149"/>
        <v>306.96997932589795</v>
      </c>
      <c r="Y347" s="314" t="str">
        <f t="shared" ca="1" si="167"/>
        <v/>
      </c>
      <c r="Z347" s="315" t="str">
        <f t="shared" ca="1" si="168"/>
        <v/>
      </c>
      <c r="AA347" s="316" t="str">
        <f t="shared" ca="1" si="169"/>
        <v/>
      </c>
      <c r="AC347" s="310" t="e">
        <f t="shared" ca="1" si="170"/>
        <v>#N/A</v>
      </c>
      <c r="AD347" s="323" t="e">
        <f t="shared" ca="1" si="171"/>
        <v>#N/A</v>
      </c>
      <c r="AE347" s="324">
        <f t="shared" ca="1" si="150"/>
        <v>807.6174177080369</v>
      </c>
      <c r="AG347" s="306">
        <f t="shared" ca="1" si="172"/>
        <v>-52.607227070765262</v>
      </c>
      <c r="AH347" s="304">
        <f t="shared" ca="1" si="173"/>
        <v>-42.997532358610101</v>
      </c>
    </row>
    <row r="348" spans="1:34" x14ac:dyDescent="0.2">
      <c r="A348" s="347">
        <f t="shared" ca="1" si="151"/>
        <v>0.01</v>
      </c>
      <c r="B348" s="304">
        <f t="shared" ca="1" si="152"/>
        <v>3.4399999999999706</v>
      </c>
      <c r="D348" s="306">
        <f t="shared" ca="1" si="153"/>
        <v>-8.8352363474696567</v>
      </c>
      <c r="E348" s="307">
        <f t="shared" ca="1" si="154"/>
        <v>-52.843838003871788</v>
      </c>
      <c r="F348" s="304">
        <f t="shared" ca="1" si="155"/>
        <v>53.577351710355124</v>
      </c>
      <c r="G348" s="306">
        <f t="shared" ca="1" si="156"/>
        <v>58.1083032560093</v>
      </c>
      <c r="H348" s="307">
        <f t="shared" ca="1" si="157"/>
        <v>282.93035681260329</v>
      </c>
      <c r="I348" s="304">
        <f t="shared" ca="1" si="158"/>
        <v>288.83587331458563</v>
      </c>
      <c r="J348" s="306">
        <f t="shared" ca="1" si="159"/>
        <v>157.7769506613443</v>
      </c>
      <c r="K348" s="307">
        <f t="shared" ca="1" si="160"/>
        <v>810.4493634680631</v>
      </c>
      <c r="L348" s="304">
        <f t="shared" ca="1" si="145"/>
        <v>825.66442148477051</v>
      </c>
      <c r="M348" s="306">
        <f t="shared" ca="1" si="161"/>
        <v>1.3682328568590281</v>
      </c>
      <c r="N348" s="304">
        <f t="shared" ca="1" si="162"/>
        <v>78.393968089149595</v>
      </c>
      <c r="P348" s="310">
        <f t="shared" ca="1" si="163"/>
        <v>9</v>
      </c>
      <c r="Q348" s="304">
        <f t="shared" ca="1" si="164"/>
        <v>87.481481481498719</v>
      </c>
      <c r="R348" s="306">
        <f t="shared" ca="1" si="165"/>
        <v>4.3902879642818429E-2</v>
      </c>
      <c r="S348" s="307">
        <f t="shared" ca="1" si="166"/>
        <v>4.9961583307827668</v>
      </c>
      <c r="T348" s="304">
        <f t="shared" ca="1" si="146"/>
        <v>49.012313224978946</v>
      </c>
      <c r="U348" s="311">
        <f t="shared" ca="1" si="147"/>
        <v>0</v>
      </c>
      <c r="V348" s="306">
        <f t="shared" ca="1" si="148"/>
        <v>1.1295863495873186</v>
      </c>
      <c r="W348" s="304">
        <f t="shared" ca="1" si="149"/>
        <v>305.74834678732697</v>
      </c>
      <c r="Y348" s="314" t="str">
        <f t="shared" ca="1" si="167"/>
        <v/>
      </c>
      <c r="Z348" s="315" t="str">
        <f t="shared" ca="1" si="168"/>
        <v/>
      </c>
      <c r="AA348" s="316" t="str">
        <f t="shared" ca="1" si="169"/>
        <v/>
      </c>
      <c r="AC348" s="310" t="e">
        <f t="shared" ca="1" si="170"/>
        <v>#N/A</v>
      </c>
      <c r="AD348" s="323" t="e">
        <f t="shared" ca="1" si="171"/>
        <v>#N/A</v>
      </c>
      <c r="AE348" s="324">
        <f t="shared" ca="1" si="150"/>
        <v>810.4493634680631</v>
      </c>
      <c r="AG348" s="306">
        <f t="shared" ca="1" si="172"/>
        <v>-53.541013856505565</v>
      </c>
      <c r="AH348" s="304">
        <f t="shared" ca="1" si="173"/>
        <v>-43.931453591465974</v>
      </c>
    </row>
    <row r="349" spans="1:34" x14ac:dyDescent="0.2">
      <c r="A349" s="347">
        <f t="shared" ca="1" si="151"/>
        <v>0.01</v>
      </c>
      <c r="B349" s="304">
        <f t="shared" ca="1" si="152"/>
        <v>3.4499999999999704</v>
      </c>
      <c r="D349" s="306">
        <f t="shared" ca="1" si="153"/>
        <v>-9.0253615695723237</v>
      </c>
      <c r="E349" s="307">
        <f t="shared" ca="1" si="154"/>
        <v>-53.754645191094603</v>
      </c>
      <c r="F349" s="304">
        <f t="shared" ca="1" si="155"/>
        <v>54.507054874410372</v>
      </c>
      <c r="G349" s="306">
        <f t="shared" ca="1" si="156"/>
        <v>58.018049640313578</v>
      </c>
      <c r="H349" s="307">
        <f t="shared" ca="1" si="157"/>
        <v>282.39281036069235</v>
      </c>
      <c r="I349" s="304">
        <f t="shared" ca="1" si="158"/>
        <v>288.29116085561111</v>
      </c>
      <c r="J349" s="306">
        <f t="shared" ca="1" si="159"/>
        <v>158.35758242582591</v>
      </c>
      <c r="K349" s="307">
        <f t="shared" ca="1" si="160"/>
        <v>813.2759793039296</v>
      </c>
      <c r="L349" s="304">
        <f t="shared" ca="1" si="145"/>
        <v>828.54990340022243</v>
      </c>
      <c r="M349" s="306">
        <f t="shared" ca="1" si="161"/>
        <v>1.3681643987744405</v>
      </c>
      <c r="N349" s="304">
        <f t="shared" ca="1" si="162"/>
        <v>78.390045729829183</v>
      </c>
      <c r="P349" s="310">
        <f t="shared" ca="1" si="163"/>
        <v>9</v>
      </c>
      <c r="Q349" s="304">
        <f t="shared" ca="1" si="164"/>
        <v>81.629629629646985</v>
      </c>
      <c r="R349" s="306">
        <f t="shared" ca="1" si="165"/>
        <v>4.0966107846220713E-2</v>
      </c>
      <c r="S349" s="307">
        <f t="shared" ca="1" si="166"/>
        <v>4.9957486697043043</v>
      </c>
      <c r="T349" s="304">
        <f t="shared" ca="1" si="146"/>
        <v>49.00829444979923</v>
      </c>
      <c r="U349" s="311">
        <f t="shared" ca="1" si="147"/>
        <v>0</v>
      </c>
      <c r="V349" s="306">
        <f t="shared" ca="1" si="148"/>
        <v>1.1292665771944825</v>
      </c>
      <c r="W349" s="304">
        <f t="shared" ca="1" si="149"/>
        <v>304.5099916359527</v>
      </c>
      <c r="Y349" s="314" t="str">
        <f t="shared" ca="1" si="167"/>
        <v/>
      </c>
      <c r="Z349" s="315" t="str">
        <f t="shared" ca="1" si="168"/>
        <v/>
      </c>
      <c r="AA349" s="316" t="str">
        <f t="shared" ca="1" si="169"/>
        <v/>
      </c>
      <c r="AC349" s="310" t="e">
        <f t="shared" ca="1" si="170"/>
        <v>#N/A</v>
      </c>
      <c r="AD349" s="323" t="e">
        <f t="shared" ca="1" si="171"/>
        <v>#N/A</v>
      </c>
      <c r="AE349" s="324">
        <f t="shared" ca="1" si="150"/>
        <v>813.2759793039296</v>
      </c>
      <c r="AG349" s="306">
        <f t="shared" ca="1" si="172"/>
        <v>-54.471313451412023</v>
      </c>
      <c r="AH349" s="304">
        <f t="shared" ca="1" si="173"/>
        <v>-44.861887972227684</v>
      </c>
    </row>
    <row r="350" spans="1:34" x14ac:dyDescent="0.2">
      <c r="A350" s="347">
        <f t="shared" ca="1" si="151"/>
        <v>0.01</v>
      </c>
      <c r="B350" s="304">
        <f t="shared" ca="1" si="152"/>
        <v>3.4599999999999702</v>
      </c>
      <c r="D350" s="306">
        <f t="shared" ca="1" si="153"/>
        <v>-9.2149209004120447</v>
      </c>
      <c r="E350" s="307">
        <f t="shared" ca="1" si="154"/>
        <v>-54.662031849596886</v>
      </c>
      <c r="F350" s="304">
        <f t="shared" ca="1" si="155"/>
        <v>55.433315732754025</v>
      </c>
      <c r="G350" s="306">
        <f t="shared" ca="1" si="156"/>
        <v>57.925900431309458</v>
      </c>
      <c r="H350" s="307">
        <f t="shared" ca="1" si="157"/>
        <v>281.84619004219638</v>
      </c>
      <c r="I350" s="304">
        <f t="shared" ca="1" si="158"/>
        <v>287.73718004818193</v>
      </c>
      <c r="J350" s="306">
        <f t="shared" ca="1" si="159"/>
        <v>158.93730217618403</v>
      </c>
      <c r="K350" s="307">
        <f t="shared" ca="1" si="160"/>
        <v>816.09717430594401</v>
      </c>
      <c r="L350" s="304">
        <f t="shared" ca="1" si="145"/>
        <v>831.42989117134221</v>
      </c>
      <c r="M350" s="306">
        <f t="shared" ca="1" si="161"/>
        <v>1.368095786024935</v>
      </c>
      <c r="N350" s="304">
        <f t="shared" ca="1" si="162"/>
        <v>78.386114508861723</v>
      </c>
      <c r="P350" s="310">
        <f t="shared" ca="1" si="163"/>
        <v>9</v>
      </c>
      <c r="Q350" s="304">
        <f t="shared" ca="1" si="164"/>
        <v>75.777777777795279</v>
      </c>
      <c r="R350" s="306">
        <f t="shared" ca="1" si="165"/>
        <v>3.8029336049623011E-2</v>
      </c>
      <c r="S350" s="307">
        <f t="shared" ca="1" si="166"/>
        <v>4.9953683763438077</v>
      </c>
      <c r="T350" s="304">
        <f t="shared" ca="1" si="146"/>
        <v>49.004563771932759</v>
      </c>
      <c r="U350" s="311">
        <f t="shared" ca="1" si="147"/>
        <v>0</v>
      </c>
      <c r="V350" s="306">
        <f t="shared" ca="1" si="148"/>
        <v>1.1289475046495487</v>
      </c>
      <c r="W350" s="304">
        <f t="shared" ca="1" si="149"/>
        <v>303.25511368680264</v>
      </c>
      <c r="Y350" s="314" t="str">
        <f t="shared" ca="1" si="167"/>
        <v/>
      </c>
      <c r="Z350" s="315" t="str">
        <f t="shared" ca="1" si="168"/>
        <v/>
      </c>
      <c r="AA350" s="316" t="str">
        <f t="shared" ca="1" si="169"/>
        <v/>
      </c>
      <c r="AC350" s="310" t="e">
        <f t="shared" ca="1" si="170"/>
        <v>#N/A</v>
      </c>
      <c r="AD350" s="323" t="e">
        <f t="shared" ca="1" si="171"/>
        <v>#N/A</v>
      </c>
      <c r="AE350" s="324">
        <f t="shared" ca="1" si="150"/>
        <v>816.09717430594401</v>
      </c>
      <c r="AG350" s="306">
        <f t="shared" ca="1" si="172"/>
        <v>-55.398148472071554</v>
      </c>
      <c r="AH350" s="304">
        <f t="shared" ca="1" si="173"/>
        <v>-45.788858123326293</v>
      </c>
    </row>
    <row r="351" spans="1:34" x14ac:dyDescent="0.2">
      <c r="A351" s="347">
        <f t="shared" ca="1" si="151"/>
        <v>0.01</v>
      </c>
      <c r="B351" s="304">
        <f t="shared" ca="1" si="152"/>
        <v>3.46999999999997</v>
      </c>
      <c r="D351" s="306">
        <f t="shared" ca="1" si="153"/>
        <v>-9.4039187858510846</v>
      </c>
      <c r="E351" s="307">
        <f t="shared" ca="1" si="154"/>
        <v>-55.56602039024618</v>
      </c>
      <c r="F351" s="304">
        <f t="shared" ca="1" si="155"/>
        <v>56.356155924088164</v>
      </c>
      <c r="G351" s="306">
        <f t="shared" ca="1" si="156"/>
        <v>57.831861243450945</v>
      </c>
      <c r="H351" s="307">
        <f t="shared" ca="1" si="157"/>
        <v>281.29052983829393</v>
      </c>
      <c r="I351" s="304">
        <f t="shared" ca="1" si="158"/>
        <v>287.1739653095139</v>
      </c>
      <c r="J351" s="306">
        <f t="shared" ca="1" si="159"/>
        <v>159.51609098455785</v>
      </c>
      <c r="K351" s="307">
        <f t="shared" ca="1" si="160"/>
        <v>818.91285790534641</v>
      </c>
      <c r="L351" s="304">
        <f t="shared" ca="1" si="145"/>
        <v>834.30429228531227</v>
      </c>
      <c r="M351" s="306">
        <f t="shared" ca="1" si="161"/>
        <v>1.3680270157511787</v>
      </c>
      <c r="N351" s="304">
        <f t="shared" ca="1" si="162"/>
        <v>78.382174262419525</v>
      </c>
      <c r="P351" s="310">
        <f t="shared" ca="1" si="163"/>
        <v>9</v>
      </c>
      <c r="Q351" s="304">
        <f t="shared" ca="1" si="164"/>
        <v>69.925925925943545</v>
      </c>
      <c r="R351" s="306">
        <f t="shared" ca="1" si="165"/>
        <v>3.5092564253025295E-2</v>
      </c>
      <c r="S351" s="307">
        <f t="shared" ca="1" si="166"/>
        <v>4.9950174507012779</v>
      </c>
      <c r="T351" s="304">
        <f t="shared" ca="1" si="146"/>
        <v>49.001121191379539</v>
      </c>
      <c r="U351" s="311">
        <f t="shared" ca="1" si="147"/>
        <v>0</v>
      </c>
      <c r="V351" s="306">
        <f t="shared" ca="1" si="148"/>
        <v>1.1286291416577858</v>
      </c>
      <c r="W351" s="304">
        <f t="shared" ca="1" si="149"/>
        <v>301.98391327772873</v>
      </c>
      <c r="Y351" s="314" t="str">
        <f t="shared" ca="1" si="167"/>
        <v/>
      </c>
      <c r="Z351" s="315" t="str">
        <f t="shared" ca="1" si="168"/>
        <v/>
      </c>
      <c r="AA351" s="316" t="str">
        <f t="shared" ca="1" si="169"/>
        <v/>
      </c>
      <c r="AC351" s="310" t="e">
        <f t="shared" ca="1" si="170"/>
        <v>#N/A</v>
      </c>
      <c r="AD351" s="323" t="e">
        <f t="shared" ca="1" si="171"/>
        <v>#N/A</v>
      </c>
      <c r="AE351" s="324">
        <f t="shared" ca="1" si="150"/>
        <v>818.91285790534641</v>
      </c>
      <c r="AG351" s="306">
        <f t="shared" ca="1" si="172"/>
        <v>-56.32154177412017</v>
      </c>
      <c r="AH351" s="304">
        <f t="shared" ca="1" si="173"/>
        <v>-46.712386906296139</v>
      </c>
    </row>
    <row r="352" spans="1:34" x14ac:dyDescent="0.2">
      <c r="A352" s="347">
        <f t="shared" ca="1" si="151"/>
        <v>0.01</v>
      </c>
      <c r="B352" s="304">
        <f t="shared" ca="1" si="152"/>
        <v>3.4799999999999698</v>
      </c>
      <c r="D352" s="306">
        <f t="shared" ca="1" si="153"/>
        <v>-9.5869477860802519</v>
      </c>
      <c r="E352" s="307">
        <f t="shared" ca="1" si="154"/>
        <v>-56.440310079877598</v>
      </c>
      <c r="F352" s="304">
        <f t="shared" ca="1" si="155"/>
        <v>57.248739460059397</v>
      </c>
      <c r="G352" s="306">
        <f t="shared" ca="1" si="156"/>
        <v>57.735991765590143</v>
      </c>
      <c r="H352" s="307">
        <f t="shared" ca="1" si="157"/>
        <v>280.72612673749518</v>
      </c>
      <c r="I352" s="304">
        <f t="shared" ca="1" si="158"/>
        <v>286.6018195653902</v>
      </c>
      <c r="J352" s="306">
        <f t="shared" ca="1" si="159"/>
        <v>160.09393024960306</v>
      </c>
      <c r="K352" s="307">
        <f t="shared" ca="1" si="160"/>
        <v>821.72294118822538</v>
      </c>
      <c r="L352" s="304">
        <f t="shared" ca="1" si="145"/>
        <v>837.17301591594105</v>
      </c>
      <c r="M352" s="306">
        <f t="shared" ca="1" si="161"/>
        <v>1.367958085133657</v>
      </c>
      <c r="N352" s="304">
        <f t="shared" ca="1" si="162"/>
        <v>78.378224828956306</v>
      </c>
      <c r="P352" s="310">
        <f t="shared" ca="1" si="163"/>
        <v>10</v>
      </c>
      <c r="Q352" s="304">
        <f t="shared" ca="1" si="164"/>
        <v>64.20833333335024</v>
      </c>
      <c r="R352" s="306">
        <f t="shared" ca="1" si="165"/>
        <v>3.2223170923279483E-2</v>
      </c>
      <c r="S352" s="307">
        <f t="shared" ca="1" si="166"/>
        <v>4.994695218992045</v>
      </c>
      <c r="T352" s="304">
        <f t="shared" ca="1" si="146"/>
        <v>48.997960098311964</v>
      </c>
      <c r="U352" s="311">
        <f t="shared" ca="1" si="147"/>
        <v>0</v>
      </c>
      <c r="V352" s="306">
        <f t="shared" ca="1" si="148"/>
        <v>1.1283114977277542</v>
      </c>
      <c r="W352" s="304">
        <f t="shared" ca="1" si="149"/>
        <v>300.69715511735575</v>
      </c>
      <c r="Y352" s="314" t="str">
        <f t="shared" ca="1" si="167"/>
        <v/>
      </c>
      <c r="Z352" s="315" t="str">
        <f t="shared" ca="1" si="168"/>
        <v/>
      </c>
      <c r="AA352" s="316" t="str">
        <f t="shared" ca="1" si="169"/>
        <v/>
      </c>
      <c r="AC352" s="310" t="e">
        <f t="shared" ca="1" si="170"/>
        <v>#N/A</v>
      </c>
      <c r="AD352" s="323" t="e">
        <f t="shared" ca="1" si="171"/>
        <v>#N/A</v>
      </c>
      <c r="AE352" s="324">
        <f t="shared" ca="1" si="150"/>
        <v>821.72294118822538</v>
      </c>
      <c r="AG352" s="306">
        <f t="shared" ca="1" si="172"/>
        <v>-57.214642500793708</v>
      </c>
      <c r="AH352" s="304">
        <f t="shared" ca="1" si="173"/>
        <v>-47.605623470327146</v>
      </c>
    </row>
    <row r="353" spans="1:34" x14ac:dyDescent="0.2">
      <c r="A353" s="347">
        <f t="shared" ca="1" si="151"/>
        <v>0.01</v>
      </c>
      <c r="B353" s="304">
        <f t="shared" ca="1" si="152"/>
        <v>3.4899999999999696</v>
      </c>
      <c r="D353" s="306">
        <f t="shared" ca="1" si="153"/>
        <v>-9.7640302032781499</v>
      </c>
      <c r="E353" s="307">
        <f t="shared" ca="1" si="154"/>
        <v>-57.285037606400017</v>
      </c>
      <c r="F353" s="304">
        <f t="shared" ca="1" si="155"/>
        <v>58.111202184924657</v>
      </c>
      <c r="G353" s="306">
        <f t="shared" ca="1" si="156"/>
        <v>57.638351463557363</v>
      </c>
      <c r="H353" s="307">
        <f t="shared" ca="1" si="157"/>
        <v>280.15327636143115</v>
      </c>
      <c r="I353" s="304">
        <f t="shared" ca="1" si="158"/>
        <v>286.02104435772026</v>
      </c>
      <c r="J353" s="306">
        <f t="shared" ca="1" si="159"/>
        <v>160.67080196574881</v>
      </c>
      <c r="K353" s="307">
        <f t="shared" ca="1" si="160"/>
        <v>824.52733820371998</v>
      </c>
      <c r="L353" s="304">
        <f t="shared" ca="1" si="145"/>
        <v>840.03597425921498</v>
      </c>
      <c r="M353" s="306">
        <f t="shared" ca="1" si="161"/>
        <v>1.3678889913928129</v>
      </c>
      <c r="N353" s="304">
        <f t="shared" ca="1" si="162"/>
        <v>78.37426604921518</v>
      </c>
      <c r="P353" s="310">
        <f t="shared" ca="1" si="163"/>
        <v>10</v>
      </c>
      <c r="Q353" s="304">
        <f t="shared" ca="1" si="164"/>
        <v>58.625000000017017</v>
      </c>
      <c r="R353" s="306">
        <f t="shared" ca="1" si="165"/>
        <v>2.9421156060386408E-2</v>
      </c>
      <c r="S353" s="307">
        <f t="shared" ca="1" si="166"/>
        <v>4.9944010074314411</v>
      </c>
      <c r="T353" s="304">
        <f t="shared" ca="1" si="146"/>
        <v>48.995073882902439</v>
      </c>
      <c r="U353" s="311">
        <f t="shared" ca="1" si="147"/>
        <v>0</v>
      </c>
      <c r="V353" s="306">
        <f t="shared" ca="1" si="148"/>
        <v>1.1279945820238071</v>
      </c>
      <c r="W353" s="304">
        <f t="shared" ca="1" si="149"/>
        <v>299.39559669476398</v>
      </c>
      <c r="Y353" s="314" t="str">
        <f t="shared" ca="1" si="167"/>
        <v/>
      </c>
      <c r="Z353" s="315" t="str">
        <f t="shared" ca="1" si="168"/>
        <v/>
      </c>
      <c r="AA353" s="316" t="str">
        <f t="shared" ca="1" si="169"/>
        <v/>
      </c>
      <c r="AC353" s="310" t="e">
        <f t="shared" ca="1" si="170"/>
        <v>#N/A</v>
      </c>
      <c r="AD353" s="323" t="e">
        <f t="shared" ca="1" si="171"/>
        <v>#N/A</v>
      </c>
      <c r="AE353" s="324">
        <f t="shared" ca="1" si="150"/>
        <v>824.52733820371998</v>
      </c>
      <c r="AG353" s="306">
        <f t="shared" ca="1" si="172"/>
        <v>-58.077589039430933</v>
      </c>
      <c r="AH353" s="304">
        <f t="shared" ca="1" si="173"/>
        <v>-48.468706208641713</v>
      </c>
    </row>
    <row r="354" spans="1:34" x14ac:dyDescent="0.2">
      <c r="A354" s="347">
        <f t="shared" ca="1" si="151"/>
        <v>0.01</v>
      </c>
      <c r="B354" s="304">
        <f t="shared" ca="1" si="152"/>
        <v>3.4999999999999694</v>
      </c>
      <c r="D354" s="306">
        <f t="shared" ca="1" si="153"/>
        <v>-9.9406045145630664</v>
      </c>
      <c r="E354" s="307">
        <f t="shared" ca="1" si="154"/>
        <v>-58.126665085899688</v>
      </c>
      <c r="F354" s="304">
        <f t="shared" ca="1" si="155"/>
        <v>58.970541901217942</v>
      </c>
      <c r="G354" s="306">
        <f t="shared" ca="1" si="156"/>
        <v>57.538945418411735</v>
      </c>
      <c r="H354" s="307">
        <f t="shared" ca="1" si="157"/>
        <v>279.57200971057216</v>
      </c>
      <c r="I354" s="304">
        <f t="shared" ca="1" si="158"/>
        <v>285.4316710764088</v>
      </c>
      <c r="J354" s="306">
        <f t="shared" ca="1" si="159"/>
        <v>161.24668845015864</v>
      </c>
      <c r="K354" s="307">
        <f t="shared" ca="1" si="160"/>
        <v>827.32596463408004</v>
      </c>
      <c r="L354" s="304">
        <f t="shared" ca="1" si="145"/>
        <v>842.89308117569317</v>
      </c>
      <c r="M354" s="306">
        <f t="shared" ca="1" si="161"/>
        <v>1.3678197317240111</v>
      </c>
      <c r="N354" s="304">
        <f t="shared" ca="1" si="162"/>
        <v>78.370297762502346</v>
      </c>
      <c r="P354" s="310">
        <f t="shared" ca="1" si="163"/>
        <v>10</v>
      </c>
      <c r="Q354" s="304">
        <f t="shared" ca="1" si="164"/>
        <v>53.041666666683788</v>
      </c>
      <c r="R354" s="306">
        <f t="shared" ca="1" si="165"/>
        <v>2.661914119749333E-2</v>
      </c>
      <c r="S354" s="307">
        <f t="shared" ca="1" si="166"/>
        <v>4.9941348160194661</v>
      </c>
      <c r="T354" s="304">
        <f t="shared" ca="1" si="146"/>
        <v>48.992462545150964</v>
      </c>
      <c r="U354" s="311">
        <f t="shared" ca="1" si="147"/>
        <v>0</v>
      </c>
      <c r="V354" s="306">
        <f t="shared" ca="1" si="148"/>
        <v>1.1276784035168335</v>
      </c>
      <c r="W354" s="304">
        <f t="shared" ca="1" si="149"/>
        <v>298.07942681326881</v>
      </c>
      <c r="Y354" s="314" t="str">
        <f t="shared" ca="1" si="167"/>
        <v/>
      </c>
      <c r="Z354" s="315" t="str">
        <f t="shared" ca="1" si="168"/>
        <v/>
      </c>
      <c r="AA354" s="316" t="str">
        <f t="shared" ca="1" si="169"/>
        <v/>
      </c>
      <c r="AC354" s="310" t="e">
        <f t="shared" ca="1" si="170"/>
        <v>#N/A</v>
      </c>
      <c r="AD354" s="323" t="e">
        <f t="shared" ca="1" si="171"/>
        <v>#N/A</v>
      </c>
      <c r="AE354" s="324">
        <f t="shared" ca="1" si="150"/>
        <v>827.32596463408004</v>
      </c>
      <c r="AG354" s="306">
        <f t="shared" ca="1" si="172"/>
        <v>-58.937396590531698</v>
      </c>
      <c r="AH354" s="304">
        <f t="shared" ca="1" si="173"/>
        <v>-49.328650327552545</v>
      </c>
    </row>
    <row r="355" spans="1:34" x14ac:dyDescent="0.2">
      <c r="A355" s="347">
        <f t="shared" ca="1" si="151"/>
        <v>0.01</v>
      </c>
      <c r="B355" s="304">
        <f t="shared" ca="1" si="152"/>
        <v>3.5099999999999691</v>
      </c>
      <c r="D355" s="306">
        <f t="shared" ca="1" si="153"/>
        <v>-10.116675232091891</v>
      </c>
      <c r="E355" s="307">
        <f t="shared" ca="1" si="154"/>
        <v>-58.965214883727533</v>
      </c>
      <c r="F355" s="304">
        <f t="shared" ca="1" si="155"/>
        <v>59.82678065913111</v>
      </c>
      <c r="G355" s="306">
        <f t="shared" ca="1" si="156"/>
        <v>57.437778666090814</v>
      </c>
      <c r="H355" s="307">
        <f t="shared" ca="1" si="157"/>
        <v>278.98235756173489</v>
      </c>
      <c r="I355" s="304">
        <f t="shared" ca="1" si="158"/>
        <v>284.83373088312158</v>
      </c>
      <c r="J355" s="306">
        <f t="shared" ca="1" si="159"/>
        <v>161.82157207058117</v>
      </c>
      <c r="K355" s="307">
        <f t="shared" ca="1" si="160"/>
        <v>830.1187364704416</v>
      </c>
      <c r="L355" s="304">
        <f t="shared" ca="1" si="145"/>
        <v>845.744250838678</v>
      </c>
      <c r="M355" s="306">
        <f t="shared" ca="1" si="161"/>
        <v>1.3677503032968319</v>
      </c>
      <c r="N355" s="304">
        <f t="shared" ca="1" si="162"/>
        <v>78.366319806646757</v>
      </c>
      <c r="P355" s="310">
        <f t="shared" ca="1" si="163"/>
        <v>10</v>
      </c>
      <c r="Q355" s="304">
        <f t="shared" ca="1" si="164"/>
        <v>47.458333333350552</v>
      </c>
      <c r="R355" s="306">
        <f t="shared" ca="1" si="165"/>
        <v>2.3817126334600251E-2</v>
      </c>
      <c r="S355" s="307">
        <f t="shared" ca="1" si="166"/>
        <v>4.9938966447561199</v>
      </c>
      <c r="T355" s="304">
        <f t="shared" ca="1" si="146"/>
        <v>48.99012608505754</v>
      </c>
      <c r="U355" s="311">
        <f t="shared" ca="1" si="147"/>
        <v>0</v>
      </c>
      <c r="V355" s="306">
        <f t="shared" ca="1" si="148"/>
        <v>1.1273629711341149</v>
      </c>
      <c r="W355" s="304">
        <f t="shared" ca="1" si="149"/>
        <v>296.74883457728049</v>
      </c>
      <c r="Y355" s="314" t="str">
        <f t="shared" ca="1" si="167"/>
        <v/>
      </c>
      <c r="Z355" s="315" t="str">
        <f t="shared" ca="1" si="168"/>
        <v/>
      </c>
      <c r="AA355" s="316" t="str">
        <f t="shared" ca="1" si="169"/>
        <v/>
      </c>
      <c r="AC355" s="310" t="e">
        <f t="shared" ca="1" si="170"/>
        <v>#N/A</v>
      </c>
      <c r="AD355" s="323" t="e">
        <f t="shared" ca="1" si="171"/>
        <v>#N/A</v>
      </c>
      <c r="AE355" s="324">
        <f t="shared" ca="1" si="150"/>
        <v>830.1187364704416</v>
      </c>
      <c r="AG355" s="306">
        <f t="shared" ca="1" si="172"/>
        <v>-59.794087978014836</v>
      </c>
      <c r="AH355" s="304">
        <f t="shared" ca="1" si="173"/>
        <v>-50.185478656849035</v>
      </c>
    </row>
    <row r="356" spans="1:34" x14ac:dyDescent="0.2">
      <c r="A356" s="347">
        <f t="shared" ca="1" si="151"/>
        <v>0.01</v>
      </c>
      <c r="B356" s="304">
        <f t="shared" ca="1" si="152"/>
        <v>3.5199999999999689</v>
      </c>
      <c r="D356" s="306">
        <f t="shared" ca="1" si="153"/>
        <v>-10.292246916118254</v>
      </c>
      <c r="E356" s="307">
        <f t="shared" ca="1" si="154"/>
        <v>-59.800709528627898</v>
      </c>
      <c r="F356" s="304">
        <f t="shared" ca="1" si="155"/>
        <v>60.679940727638105</v>
      </c>
      <c r="G356" s="306">
        <f t="shared" ca="1" si="156"/>
        <v>57.334856196929628</v>
      </c>
      <c r="H356" s="307">
        <f t="shared" ca="1" si="157"/>
        <v>278.38435046644861</v>
      </c>
      <c r="I356" s="304">
        <f t="shared" ca="1" si="158"/>
        <v>284.22725470958812</v>
      </c>
      <c r="J356" s="306">
        <f t="shared" ca="1" si="159"/>
        <v>162.39543524489628</v>
      </c>
      <c r="K356" s="307">
        <f t="shared" ca="1" si="160"/>
        <v>832.90557001058255</v>
      </c>
      <c r="L356" s="304">
        <f t="shared" ca="1" si="145"/>
        <v>848.58939773192594</v>
      </c>
      <c r="M356" s="306">
        <f t="shared" ca="1" si="161"/>
        <v>1.3676807032543528</v>
      </c>
      <c r="N356" s="304">
        <f t="shared" ca="1" si="162"/>
        <v>78.362332017958764</v>
      </c>
      <c r="P356" s="310">
        <f t="shared" ca="1" si="163"/>
        <v>10</v>
      </c>
      <c r="Q356" s="304">
        <f t="shared" ca="1" si="164"/>
        <v>41.875000000017323</v>
      </c>
      <c r="R356" s="306">
        <f t="shared" ca="1" si="165"/>
        <v>2.1015111471707173E-2</v>
      </c>
      <c r="S356" s="307">
        <f t="shared" ca="1" si="166"/>
        <v>4.9936864936414027</v>
      </c>
      <c r="T356" s="304">
        <f t="shared" ca="1" si="146"/>
        <v>48.988064502622166</v>
      </c>
      <c r="U356" s="311">
        <f t="shared" ca="1" si="147"/>
        <v>0</v>
      </c>
      <c r="V356" s="306">
        <f t="shared" ca="1" si="148"/>
        <v>1.1270482937596837</v>
      </c>
      <c r="W356" s="304">
        <f t="shared" ca="1" si="149"/>
        <v>295.4040093735527</v>
      </c>
      <c r="Y356" s="314" t="str">
        <f t="shared" ca="1" si="167"/>
        <v/>
      </c>
      <c r="Z356" s="315" t="str">
        <f t="shared" ca="1" si="168"/>
        <v/>
      </c>
      <c r="AA356" s="316" t="str">
        <f t="shared" ca="1" si="169"/>
        <v/>
      </c>
      <c r="AC356" s="310" t="e">
        <f t="shared" ca="1" si="170"/>
        <v>#N/A</v>
      </c>
      <c r="AD356" s="323" t="e">
        <f t="shared" ca="1" si="171"/>
        <v>#N/A</v>
      </c>
      <c r="AE356" s="324">
        <f t="shared" ca="1" si="150"/>
        <v>832.90557001058255</v>
      </c>
      <c r="AG356" s="306">
        <f t="shared" ca="1" si="172"/>
        <v>-60.647686195544992</v>
      </c>
      <c r="AH356" s="304">
        <f t="shared" ca="1" si="173"/>
        <v>-51.039214196125641</v>
      </c>
    </row>
    <row r="357" spans="1:34" x14ac:dyDescent="0.2">
      <c r="A357" s="347">
        <f t="shared" ca="1" si="151"/>
        <v>0.01</v>
      </c>
      <c r="B357" s="304">
        <f t="shared" ca="1" si="152"/>
        <v>3.5299999999999687</v>
      </c>
      <c r="D357" s="306">
        <f t="shared" ca="1" si="153"/>
        <v>-10.467324174135927</v>
      </c>
      <c r="E357" s="307">
        <f t="shared" ca="1" si="154"/>
        <v>-60.633171707800194</v>
      </c>
      <c r="F357" s="304">
        <f t="shared" ca="1" si="155"/>
        <v>61.530044585665891</v>
      </c>
      <c r="G357" s="306">
        <f t="shared" ca="1" si="156"/>
        <v>57.230182955188269</v>
      </c>
      <c r="H357" s="307">
        <f t="shared" ca="1" si="157"/>
        <v>277.77801874937063</v>
      </c>
      <c r="I357" s="304">
        <f t="shared" ca="1" si="158"/>
        <v>283.61227325595416</v>
      </c>
      <c r="J357" s="306">
        <f t="shared" ca="1" si="159"/>
        <v>162.96826044065688</v>
      </c>
      <c r="K357" s="307">
        <f t="shared" ca="1" si="160"/>
        <v>835.68638185666168</v>
      </c>
      <c r="L357" s="304">
        <f t="shared" ca="1" si="145"/>
        <v>851.42843664733914</v>
      </c>
      <c r="M357" s="306">
        <f t="shared" ca="1" si="161"/>
        <v>1.3676109287124152</v>
      </c>
      <c r="N357" s="304">
        <f t="shared" ca="1" si="162"/>
        <v>78.35833423118828</v>
      </c>
      <c r="P357" s="310">
        <f t="shared" ca="1" si="163"/>
        <v>10</v>
      </c>
      <c r="Q357" s="304">
        <f t="shared" ca="1" si="164"/>
        <v>36.291666666684094</v>
      </c>
      <c r="R357" s="306">
        <f t="shared" ca="1" si="165"/>
        <v>1.8213096608814094E-2</v>
      </c>
      <c r="S357" s="307">
        <f t="shared" ca="1" si="166"/>
        <v>4.9935043626753144</v>
      </c>
      <c r="T357" s="304">
        <f t="shared" ca="1" si="146"/>
        <v>48.986277797844835</v>
      </c>
      <c r="U357" s="311">
        <f t="shared" ca="1" si="147"/>
        <v>0</v>
      </c>
      <c r="V357" s="306">
        <f t="shared" ca="1" si="148"/>
        <v>1.1267343802346876</v>
      </c>
      <c r="W357" s="304">
        <f t="shared" ca="1" si="149"/>
        <v>294.04514085293681</v>
      </c>
      <c r="Y357" s="314" t="str">
        <f t="shared" ca="1" si="167"/>
        <v/>
      </c>
      <c r="Z357" s="315" t="str">
        <f t="shared" ca="1" si="168"/>
        <v/>
      </c>
      <c r="AA357" s="316" t="str">
        <f t="shared" ca="1" si="169"/>
        <v/>
      </c>
      <c r="AC357" s="310" t="e">
        <f t="shared" ca="1" si="170"/>
        <v>#N/A</v>
      </c>
      <c r="AD357" s="323" t="e">
        <f t="shared" ca="1" si="171"/>
        <v>#N/A</v>
      </c>
      <c r="AE357" s="324">
        <f t="shared" ca="1" si="150"/>
        <v>835.68638185666168</v>
      </c>
      <c r="AG357" s="306">
        <f t="shared" ca="1" si="172"/>
        <v>-61.4982144015258</v>
      </c>
      <c r="AH357" s="304">
        <f t="shared" ca="1" si="173"/>
        <v>-51.889880109776627</v>
      </c>
    </row>
    <row r="358" spans="1:34" x14ac:dyDescent="0.2">
      <c r="A358" s="347">
        <f t="shared" ca="1" si="151"/>
        <v>0.01</v>
      </c>
      <c r="B358" s="304">
        <f t="shared" ca="1" si="152"/>
        <v>3.5399999999999685</v>
      </c>
      <c r="D358" s="306">
        <f t="shared" ca="1" si="153"/>
        <v>-10.641911660042323</v>
      </c>
      <c r="E358" s="307">
        <f t="shared" ca="1" si="154"/>
        <v>-61.46262426204413</v>
      </c>
      <c r="F358" s="304">
        <f t="shared" ca="1" si="155"/>
        <v>62.377114913703416</v>
      </c>
      <c r="G358" s="306">
        <f t="shared" ca="1" si="156"/>
        <v>57.123763838587848</v>
      </c>
      <c r="H358" s="307">
        <f t="shared" ca="1" si="157"/>
        <v>277.1633925067502</v>
      </c>
      <c r="I358" s="304">
        <f t="shared" ca="1" si="158"/>
        <v>282.98881698918353</v>
      </c>
      <c r="J358" s="306">
        <f t="shared" ca="1" si="159"/>
        <v>163.54003017462577</v>
      </c>
      <c r="K358" s="307">
        <f t="shared" ca="1" si="160"/>
        <v>838.46108891294227</v>
      </c>
      <c r="L358" s="304">
        <f t="shared" ca="1" si="145"/>
        <v>854.26128268264301</v>
      </c>
      <c r="M358" s="306">
        <f t="shared" ca="1" si="161"/>
        <v>1.3675409767588784</v>
      </c>
      <c r="N358" s="304">
        <f t="shared" ca="1" si="162"/>
        <v>78.354326279481938</v>
      </c>
      <c r="P358" s="310">
        <f t="shared" ca="1" si="163"/>
        <v>10</v>
      </c>
      <c r="Q358" s="304">
        <f t="shared" ca="1" si="164"/>
        <v>30.708333333350872</v>
      </c>
      <c r="R358" s="306">
        <f t="shared" ca="1" si="165"/>
        <v>1.5411081745921019E-2</v>
      </c>
      <c r="S358" s="307">
        <f t="shared" ca="1" si="166"/>
        <v>4.993350251857855</v>
      </c>
      <c r="T358" s="304">
        <f t="shared" ca="1" si="146"/>
        <v>48.984765970725562</v>
      </c>
      <c r="U358" s="311">
        <f t="shared" ca="1" si="147"/>
        <v>0</v>
      </c>
      <c r="V358" s="306">
        <f t="shared" ca="1" si="148"/>
        <v>1.126421239357754</v>
      </c>
      <c r="W358" s="304">
        <f t="shared" ca="1" si="149"/>
        <v>292.67241891263859</v>
      </c>
      <c r="Y358" s="314" t="str">
        <f t="shared" ca="1" si="167"/>
        <v/>
      </c>
      <c r="Z358" s="315" t="str">
        <f t="shared" ca="1" si="168"/>
        <v/>
      </c>
      <c r="AA358" s="316" t="str">
        <f t="shared" ca="1" si="169"/>
        <v/>
      </c>
      <c r="AC358" s="310" t="e">
        <f t="shared" ca="1" si="170"/>
        <v>#N/A</v>
      </c>
      <c r="AD358" s="323" t="e">
        <f t="shared" ca="1" si="171"/>
        <v>#N/A</v>
      </c>
      <c r="AE358" s="324">
        <f t="shared" ca="1" si="150"/>
        <v>838.46108891294227</v>
      </c>
      <c r="AG358" s="306">
        <f t="shared" ca="1" si="172"/>
        <v>-62.345695914179103</v>
      </c>
      <c r="AH358" s="304">
        <f t="shared" ca="1" si="173"/>
        <v>-52.737499722076841</v>
      </c>
    </row>
    <row r="359" spans="1:34" x14ac:dyDescent="0.2">
      <c r="A359" s="347">
        <f t="shared" ca="1" si="151"/>
        <v>0.01</v>
      </c>
      <c r="B359" s="304">
        <f t="shared" ca="1" si="152"/>
        <v>3.5499999999999683</v>
      </c>
      <c r="D359" s="306">
        <f t="shared" ca="1" si="153"/>
        <v>-10.816014073322236</v>
      </c>
      <c r="E359" s="307">
        <f t="shared" ca="1" si="154"/>
        <v>-62.289090180988573</v>
      </c>
      <c r="F359" s="304">
        <f t="shared" ca="1" si="155"/>
        <v>63.221174585811291</v>
      </c>
      <c r="G359" s="306">
        <f t="shared" ca="1" si="156"/>
        <v>57.015603697854623</v>
      </c>
      <c r="H359" s="307">
        <f t="shared" ca="1" si="157"/>
        <v>276.54050160494029</v>
      </c>
      <c r="I359" s="304">
        <f t="shared" ca="1" si="158"/>
        <v>282.35691614150835</v>
      </c>
      <c r="J359" s="306">
        <f t="shared" ca="1" si="159"/>
        <v>164.11072701230799</v>
      </c>
      <c r="K359" s="307">
        <f t="shared" ca="1" si="160"/>
        <v>841.2296083835007</v>
      </c>
      <c r="L359" s="304">
        <f t="shared" ca="1" si="145"/>
        <v>857.0878512390467</v>
      </c>
      <c r="M359" s="306">
        <f t="shared" ca="1" si="161"/>
        <v>1.3674708444528572</v>
      </c>
      <c r="N359" s="304">
        <f t="shared" ca="1" si="162"/>
        <v>78.350307994339403</v>
      </c>
      <c r="P359" s="310">
        <f t="shared" ca="1" si="163"/>
        <v>10</v>
      </c>
      <c r="Q359" s="304">
        <f t="shared" ca="1" si="164"/>
        <v>25.125000000017643</v>
      </c>
      <c r="R359" s="306">
        <f t="shared" ca="1" si="165"/>
        <v>1.2609066883027941E-2</v>
      </c>
      <c r="S359" s="307">
        <f t="shared" ca="1" si="166"/>
        <v>4.9932241611890245</v>
      </c>
      <c r="T359" s="304">
        <f t="shared" ca="1" si="146"/>
        <v>48.983529021264332</v>
      </c>
      <c r="U359" s="311">
        <f t="shared" ca="1" si="147"/>
        <v>0</v>
      </c>
      <c r="V359" s="306">
        <f t="shared" ca="1" si="148"/>
        <v>1.126108879885354</v>
      </c>
      <c r="W359" s="304">
        <f t="shared" ca="1" si="149"/>
        <v>291.28603367897017</v>
      </c>
      <c r="Y359" s="314" t="str">
        <f t="shared" ca="1" si="167"/>
        <v/>
      </c>
      <c r="Z359" s="315" t="str">
        <f t="shared" ca="1" si="168"/>
        <v/>
      </c>
      <c r="AA359" s="316" t="str">
        <f t="shared" ca="1" si="169"/>
        <v/>
      </c>
      <c r="AC359" s="310" t="e">
        <f t="shared" ca="1" si="170"/>
        <v>#N/A</v>
      </c>
      <c r="AD359" s="323" t="e">
        <f t="shared" ca="1" si="171"/>
        <v>#N/A</v>
      </c>
      <c r="AE359" s="324">
        <f t="shared" ca="1" si="150"/>
        <v>841.2296083835007</v>
      </c>
      <c r="AG359" s="306">
        <f t="shared" ca="1" si="172"/>
        <v>-63.190154206710183</v>
      </c>
      <c r="AH359" s="304">
        <f t="shared" ca="1" si="173"/>
        <v>-53.582096512348556</v>
      </c>
    </row>
    <row r="360" spans="1:34" x14ac:dyDescent="0.2">
      <c r="A360" s="347">
        <f t="shared" ca="1" si="151"/>
        <v>0.01</v>
      </c>
      <c r="B360" s="304">
        <f t="shared" ca="1" si="152"/>
        <v>3.5599999999999681</v>
      </c>
      <c r="D360" s="306">
        <f t="shared" ca="1" si="153"/>
        <v>-10.989636158251809</v>
      </c>
      <c r="E360" s="307">
        <f t="shared" ca="1" si="154"/>
        <v>-63.112592598402969</v>
      </c>
      <c r="F360" s="304">
        <f t="shared" ca="1" si="155"/>
        <v>64.062246661998557</v>
      </c>
      <c r="G360" s="306">
        <f t="shared" ca="1" si="156"/>
        <v>56.905707336272101</v>
      </c>
      <c r="H360" s="307">
        <f t="shared" ca="1" si="157"/>
        <v>275.90937567895628</v>
      </c>
      <c r="I360" s="304">
        <f t="shared" ca="1" si="158"/>
        <v>281.71660070892676</v>
      </c>
      <c r="J360" s="306">
        <f t="shared" ca="1" si="159"/>
        <v>164.68033356747861</v>
      </c>
      <c r="K360" s="307">
        <f t="shared" ca="1" si="160"/>
        <v>843.99185776992022</v>
      </c>
      <c r="L360" s="304">
        <f t="shared" ca="1" si="145"/>
        <v>859.90805801888916</v>
      </c>
      <c r="M360" s="306">
        <f t="shared" ca="1" si="161"/>
        <v>1.367400528823945</v>
      </c>
      <c r="N360" s="304">
        <f t="shared" ca="1" si="162"/>
        <v>78.346279205568919</v>
      </c>
      <c r="P360" s="310">
        <f t="shared" ca="1" si="163"/>
        <v>10</v>
      </c>
      <c r="Q360" s="304">
        <f t="shared" ca="1" si="164"/>
        <v>19.541666666684407</v>
      </c>
      <c r="R360" s="306">
        <f t="shared" ca="1" si="165"/>
        <v>9.8070520201348592E-3</v>
      </c>
      <c r="S360" s="307">
        <f t="shared" ca="1" si="166"/>
        <v>4.9931260906688228</v>
      </c>
      <c r="T360" s="304">
        <f t="shared" ca="1" si="146"/>
        <v>48.982566949461152</v>
      </c>
      <c r="U360" s="311">
        <f t="shared" ca="1" si="147"/>
        <v>0</v>
      </c>
      <c r="V360" s="306">
        <f t="shared" ca="1" si="148"/>
        <v>1.125797310532171</v>
      </c>
      <c r="W360" s="304">
        <f t="shared" ca="1" si="149"/>
        <v>289.8861754905966</v>
      </c>
      <c r="Y360" s="314" t="str">
        <f t="shared" ca="1" si="167"/>
        <v/>
      </c>
      <c r="Z360" s="315" t="str">
        <f t="shared" ca="1" si="168"/>
        <v/>
      </c>
      <c r="AA360" s="316" t="str">
        <f t="shared" ca="1" si="169"/>
        <v/>
      </c>
      <c r="AC360" s="310" t="e">
        <f t="shared" ca="1" si="170"/>
        <v>#N/A</v>
      </c>
      <c r="AD360" s="323" t="e">
        <f t="shared" ca="1" si="171"/>
        <v>#N/A</v>
      </c>
      <c r="AE360" s="324">
        <f t="shared" ca="1" si="150"/>
        <v>843.99185776992022</v>
      </c>
      <c r="AG360" s="306">
        <f t="shared" ca="1" si="172"/>
        <v>-64.03161290255801</v>
      </c>
      <c r="AH360" s="304">
        <f t="shared" ca="1" si="173"/>
        <v>-54.423694110213418</v>
      </c>
    </row>
    <row r="361" spans="1:34" x14ac:dyDescent="0.2">
      <c r="A361" s="347">
        <f t="shared" ca="1" si="151"/>
        <v>0.01</v>
      </c>
      <c r="B361" s="304">
        <f t="shared" ca="1" si="152"/>
        <v>3.5699999999999679</v>
      </c>
      <c r="D361" s="306">
        <f t="shared" ca="1" si="153"/>
        <v>-11.162782703122829</v>
      </c>
      <c r="E361" s="307">
        <f t="shared" ca="1" si="154"/>
        <v>-63.933154787592116</v>
      </c>
      <c r="F361" s="304">
        <f t="shared" ca="1" si="155"/>
        <v>64.900354380938097</v>
      </c>
      <c r="G361" s="306">
        <f t="shared" ca="1" si="156"/>
        <v>56.794079509240873</v>
      </c>
      <c r="H361" s="307">
        <f t="shared" ca="1" si="157"/>
        <v>275.27004413108034</v>
      </c>
      <c r="I361" s="304">
        <f t="shared" ca="1" si="158"/>
        <v>281.06790044974701</v>
      </c>
      <c r="J361" s="306">
        <f t="shared" ca="1" si="159"/>
        <v>165.24883250170618</v>
      </c>
      <c r="K361" s="307">
        <f t="shared" ca="1" si="160"/>
        <v>846.74775486897045</v>
      </c>
      <c r="L361" s="304">
        <f t="shared" ca="1" si="145"/>
        <v>862.72181902326952</v>
      </c>
      <c r="M361" s="306">
        <f t="shared" ca="1" si="161"/>
        <v>1.3673300268714212</v>
      </c>
      <c r="N361" s="304">
        <f t="shared" ca="1" si="162"/>
        <v>78.342239741241883</v>
      </c>
      <c r="P361" s="310">
        <f t="shared" ca="1" si="163"/>
        <v>10</v>
      </c>
      <c r="Q361" s="304">
        <f t="shared" ca="1" si="164"/>
        <v>13.958333333351177</v>
      </c>
      <c r="R361" s="306">
        <f t="shared" ca="1" si="165"/>
        <v>7.0050371572417808E-3</v>
      </c>
      <c r="S361" s="307">
        <f t="shared" ca="1" si="166"/>
        <v>4.9930560402972501</v>
      </c>
      <c r="T361" s="304">
        <f t="shared" ca="1" si="146"/>
        <v>48.981879755316029</v>
      </c>
      <c r="U361" s="311">
        <f t="shared" ca="1" si="147"/>
        <v>0</v>
      </c>
      <c r="V361" s="306">
        <f t="shared" ca="1" si="148"/>
        <v>1.1254865399714711</v>
      </c>
      <c r="W361" s="304">
        <f t="shared" ca="1" si="149"/>
        <v>288.47303488226953</v>
      </c>
      <c r="Y361" s="314" t="str">
        <f t="shared" ca="1" si="167"/>
        <v/>
      </c>
      <c r="Z361" s="315" t="str">
        <f t="shared" ca="1" si="168"/>
        <v/>
      </c>
      <c r="AA361" s="316" t="str">
        <f t="shared" ca="1" si="169"/>
        <v/>
      </c>
      <c r="AC361" s="310" t="e">
        <f t="shared" ca="1" si="170"/>
        <v>#N/A</v>
      </c>
      <c r="AD361" s="323" t="e">
        <f t="shared" ca="1" si="171"/>
        <v>#N/A</v>
      </c>
      <c r="AE361" s="324">
        <f t="shared" ca="1" si="150"/>
        <v>846.74775486897045</v>
      </c>
      <c r="AG361" s="306">
        <f t="shared" ca="1" si="172"/>
        <v>-64.870095770731211</v>
      </c>
      <c r="AH361" s="304">
        <f t="shared" ca="1" si="173"/>
        <v>-55.262316290930052</v>
      </c>
    </row>
    <row r="362" spans="1:34" x14ac:dyDescent="0.2">
      <c r="A362" s="347">
        <f t="shared" ca="1" si="151"/>
        <v>0.01</v>
      </c>
      <c r="B362" s="304">
        <f t="shared" ca="1" si="152"/>
        <v>3.5799999999999677</v>
      </c>
      <c r="D362" s="306">
        <f t="shared" ca="1" si="153"/>
        <v>-11.335458539487469</v>
      </c>
      <c r="E362" s="307">
        <f t="shared" ca="1" si="154"/>
        <v>-64.750800156872799</v>
      </c>
      <c r="F362" s="304">
        <f t="shared" ca="1" si="155"/>
        <v>65.735521152993968</v>
      </c>
      <c r="G362" s="306">
        <f t="shared" ca="1" si="156"/>
        <v>56.680724923846</v>
      </c>
      <c r="H362" s="307">
        <f t="shared" ca="1" si="157"/>
        <v>274.62253612951162</v>
      </c>
      <c r="I362" s="304">
        <f t="shared" ca="1" si="158"/>
        <v>280.41084488317784</v>
      </c>
      <c r="J362" s="306">
        <f t="shared" ca="1" si="159"/>
        <v>165.81620652387161</v>
      </c>
      <c r="K362" s="307">
        <f t="shared" ca="1" si="160"/>
        <v>849.49721777027344</v>
      </c>
      <c r="L362" s="304">
        <f t="shared" ca="1" si="145"/>
        <v>865.52905054966379</v>
      </c>
      <c r="M362" s="306">
        <f t="shared" ca="1" si="161"/>
        <v>1.3672593355634417</v>
      </c>
      <c r="N362" s="304">
        <f t="shared" ca="1" si="162"/>
        <v>78.338189427646398</v>
      </c>
      <c r="P362" s="310">
        <f t="shared" ca="1" si="163"/>
        <v>10</v>
      </c>
      <c r="Q362" s="304">
        <f t="shared" ca="1" si="164"/>
        <v>8.3750000000179483</v>
      </c>
      <c r="R362" s="306">
        <f t="shared" ca="1" si="165"/>
        <v>4.2030222943487032E-3</v>
      </c>
      <c r="S362" s="307">
        <f t="shared" ca="1" si="166"/>
        <v>4.9930140100743063</v>
      </c>
      <c r="T362" s="304">
        <f t="shared" ca="1" si="146"/>
        <v>48.98146743882895</v>
      </c>
      <c r="U362" s="311">
        <f t="shared" ca="1" si="147"/>
        <v>0</v>
      </c>
      <c r="V362" s="306">
        <f t="shared" ca="1" si="148"/>
        <v>1.1251765768354705</v>
      </c>
      <c r="W362" s="304">
        <f t="shared" ca="1" si="149"/>
        <v>287.04680256904487</v>
      </c>
      <c r="Y362" s="314" t="str">
        <f t="shared" ca="1" si="167"/>
        <v/>
      </c>
      <c r="Z362" s="315" t="str">
        <f t="shared" ca="1" si="168"/>
        <v/>
      </c>
      <c r="AA362" s="316" t="str">
        <f t="shared" ca="1" si="169"/>
        <v/>
      </c>
      <c r="AC362" s="310" t="e">
        <f t="shared" ca="1" si="170"/>
        <v>#N/A</v>
      </c>
      <c r="AD362" s="323" t="e">
        <f t="shared" ca="1" si="171"/>
        <v>#N/A</v>
      </c>
      <c r="AE362" s="324">
        <f t="shared" ca="1" si="150"/>
        <v>849.49721777027344</v>
      </c>
      <c r="AG362" s="306">
        <f t="shared" ca="1" si="172"/>
        <v>-65.705626721228512</v>
      </c>
      <c r="AH362" s="304">
        <f t="shared" ca="1" si="173"/>
        <v>-56.097986970816279</v>
      </c>
    </row>
    <row r="363" spans="1:34" x14ac:dyDescent="0.2">
      <c r="A363" s="347">
        <f t="shared" ca="1" si="151"/>
        <v>0.01</v>
      </c>
      <c r="B363" s="304">
        <f t="shared" ca="1" si="152"/>
        <v>3.5899999999999674</v>
      </c>
      <c r="D363" s="306">
        <f t="shared" ca="1" si="153"/>
        <v>-11.507668541423401</v>
      </c>
      <c r="E363" s="307">
        <f t="shared" ca="1" si="154"/>
        <v>-65.56555224513275</v>
      </c>
      <c r="F363" s="304">
        <f t="shared" ca="1" si="155"/>
        <v>66.567770553538125</v>
      </c>
      <c r="G363" s="306">
        <f t="shared" ca="1" si="156"/>
        <v>56.565648238431763</v>
      </c>
      <c r="H363" s="307">
        <f t="shared" ca="1" si="157"/>
        <v>273.96688060706026</v>
      </c>
      <c r="I363" s="304">
        <f t="shared" ca="1" si="158"/>
        <v>279.74546328796328</v>
      </c>
      <c r="J363" s="306">
        <f t="shared" ca="1" si="159"/>
        <v>166.38243838968299</v>
      </c>
      <c r="K363" s="307">
        <f t="shared" ca="1" si="160"/>
        <v>852.24016485395634</v>
      </c>
      <c r="L363" s="304">
        <f t="shared" ca="1" si="145"/>
        <v>868.3296691895282</v>
      </c>
      <c r="M363" s="306">
        <f t="shared" ca="1" si="161"/>
        <v>1.3671884518362127</v>
      </c>
      <c r="N363" s="304">
        <f t="shared" ca="1" si="162"/>
        <v>78.334128089240011</v>
      </c>
      <c r="P363" s="310">
        <f t="shared" ca="1" si="163"/>
        <v>10</v>
      </c>
      <c r="Q363" s="304">
        <f t="shared" ca="1" si="164"/>
        <v>2.7916666666847192</v>
      </c>
      <c r="R363" s="306">
        <f t="shared" ca="1" si="165"/>
        <v>1.4010074314556248E-3</v>
      </c>
      <c r="S363" s="307">
        <f t="shared" ca="1" si="166"/>
        <v>4.9929999999999914</v>
      </c>
      <c r="T363" s="304">
        <f t="shared" ca="1" si="146"/>
        <v>48.981329999999922</v>
      </c>
      <c r="U363" s="311">
        <f t="shared" ca="1" si="147"/>
        <v>0</v>
      </c>
      <c r="V363" s="306">
        <f t="shared" ca="1" si="148"/>
        <v>1.1248674297157073</v>
      </c>
      <c r="W363" s="304">
        <f t="shared" ca="1" si="149"/>
        <v>285.6076694309798</v>
      </c>
      <c r="Y363" s="314" t="str">
        <f t="shared" ca="1" si="167"/>
        <v/>
      </c>
      <c r="Z363" s="315" t="str">
        <f t="shared" ca="1" si="168"/>
        <v/>
      </c>
      <c r="AA363" s="316" t="str">
        <f t="shared" ca="1" si="169"/>
        <v/>
      </c>
      <c r="AC363" s="310" t="e">
        <f t="shared" ca="1" si="170"/>
        <v>#N/A</v>
      </c>
      <c r="AD363" s="323" t="e">
        <f t="shared" ca="1" si="171"/>
        <v>#N/A</v>
      </c>
      <c r="AE363" s="324">
        <f t="shared" ca="1" si="150"/>
        <v>852.24016485395634</v>
      </c>
      <c r="AG363" s="306">
        <f t="shared" ca="1" si="172"/>
        <v>-66.538229800543931</v>
      </c>
      <c r="AH363" s="304">
        <f t="shared" ca="1" si="173"/>
        <v>-56.930730202755989</v>
      </c>
    </row>
    <row r="364" spans="1:34" x14ac:dyDescent="0.2">
      <c r="A364" s="347">
        <f t="shared" ca="1" si="151"/>
        <v>0.01</v>
      </c>
      <c r="B364" s="304">
        <f t="shared" ca="1" si="152"/>
        <v>3.5999999999999672</v>
      </c>
      <c r="D364" s="306">
        <f t="shared" ca="1" si="153"/>
        <v>-11.566394892389621</v>
      </c>
      <c r="E364" s="307">
        <f t="shared" ca="1" si="154"/>
        <v>-65.830026769258694</v>
      </c>
      <c r="F364" s="304">
        <f t="shared" ca="1" si="155"/>
        <v>66.838416462750018</v>
      </c>
      <c r="G364" s="306">
        <f t="shared" ca="1" si="156"/>
        <v>56.449984289507867</v>
      </c>
      <c r="H364" s="307">
        <f t="shared" ca="1" si="157"/>
        <v>273.30858033936767</v>
      </c>
      <c r="I364" s="304">
        <f t="shared" ca="1" si="158"/>
        <v>279.07737424127788</v>
      </c>
      <c r="J364" s="306">
        <f t="shared" ca="1" si="159"/>
        <v>166.9475165523227</v>
      </c>
      <c r="K364" s="307">
        <f t="shared" ca="1" si="160"/>
        <v>854.97654215868852</v>
      </c>
      <c r="L364" s="304">
        <f t="shared" ca="1" si="145"/>
        <v>871.1236197719677</v>
      </c>
      <c r="M364" s="306">
        <f t="shared" ca="1" si="161"/>
        <v>1.3671173740167684</v>
      </c>
      <c r="N364" s="304">
        <f t="shared" ca="1" si="162"/>
        <v>78.330055630168857</v>
      </c>
      <c r="P364" s="310">
        <f t="shared" ca="1" si="163"/>
        <v>23</v>
      </c>
      <c r="Q364" s="304">
        <f t="shared" ca="1" si="164"/>
        <v>0</v>
      </c>
      <c r="R364" s="306">
        <f t="shared" ca="1" si="165"/>
        <v>0</v>
      </c>
      <c r="S364" s="307">
        <f t="shared" ca="1" si="166"/>
        <v>4.9929999999999914</v>
      </c>
      <c r="T364" s="304">
        <f t="shared" ca="1" si="146"/>
        <v>48.981329999999922</v>
      </c>
      <c r="U364" s="311">
        <f t="shared" ca="1" si="147"/>
        <v>0</v>
      </c>
      <c r="V364" s="306">
        <f t="shared" ca="1" si="148"/>
        <v>1.1245591040798186</v>
      </c>
      <c r="W364" s="304">
        <f t="shared" ca="1" si="149"/>
        <v>284.16720857049222</v>
      </c>
      <c r="Y364" s="314" t="str">
        <f t="shared" ca="1" si="167"/>
        <v>Fin de propulsion</v>
      </c>
      <c r="Z364" s="315" t="str">
        <f t="shared" ca="1" si="168"/>
        <v/>
      </c>
      <c r="AA364" s="316" t="str">
        <f t="shared" ca="1" si="169"/>
        <v/>
      </c>
      <c r="AC364" s="310" t="e">
        <f t="shared" ca="1" si="170"/>
        <v>#N/A</v>
      </c>
      <c r="AD364" s="323" t="e">
        <f t="shared" ca="1" si="171"/>
        <v>#N/A</v>
      </c>
      <c r="AE364" s="324">
        <f t="shared" ca="1" si="150"/>
        <v>854.97654215868852</v>
      </c>
      <c r="AG364" s="306">
        <f t="shared" ca="1" si="172"/>
        <v>-66.808975164270151</v>
      </c>
      <c r="AH364" s="304">
        <f t="shared" ca="1" si="173"/>
        <v>-57.201616148804383</v>
      </c>
    </row>
    <row r="365" spans="1:34" x14ac:dyDescent="0.2">
      <c r="A365" s="347">
        <f t="shared" ca="1" si="151"/>
        <v>0.01</v>
      </c>
      <c r="B365" s="304">
        <f t="shared" ca="1" si="152"/>
        <v>3.609999999999967</v>
      </c>
      <c r="D365" s="306">
        <f t="shared" ca="1" si="153"/>
        <v>-11.512021507448468</v>
      </c>
      <c r="E365" s="307">
        <f t="shared" ca="1" si="154"/>
        <v>-65.546671934234766</v>
      </c>
      <c r="F365" s="304">
        <f t="shared" ca="1" si="155"/>
        <v>66.549927429277901</v>
      </c>
      <c r="G365" s="306">
        <f t="shared" ca="1" si="156"/>
        <v>56.334864074433384</v>
      </c>
      <c r="H365" s="307">
        <f t="shared" ca="1" si="157"/>
        <v>272.65311362002529</v>
      </c>
      <c r="I365" s="304">
        <f t="shared" ca="1" si="158"/>
        <v>278.41217156758665</v>
      </c>
      <c r="J365" s="306">
        <f t="shared" ca="1" si="159"/>
        <v>167.5114407941424</v>
      </c>
      <c r="K365" s="307">
        <f t="shared" ca="1" si="160"/>
        <v>857.70635062848544</v>
      </c>
      <c r="L365" s="304">
        <f t="shared" ca="1" si="145"/>
        <v>873.91090318485203</v>
      </c>
      <c r="M365" s="306">
        <f t="shared" ca="1" si="161"/>
        <v>1.3670461018458828</v>
      </c>
      <c r="N365" s="304">
        <f t="shared" ca="1" si="162"/>
        <v>78.325972035580378</v>
      </c>
      <c r="P365" s="310">
        <f t="shared" ca="1" si="163"/>
        <v>23</v>
      </c>
      <c r="Q365" s="304">
        <f t="shared" ca="1" si="164"/>
        <v>0</v>
      </c>
      <c r="R365" s="306">
        <f t="shared" ca="1" si="165"/>
        <v>0</v>
      </c>
      <c r="S365" s="307">
        <f t="shared" ca="1" si="166"/>
        <v>4.9929999999999914</v>
      </c>
      <c r="T365" s="304">
        <f t="shared" ca="1" si="146"/>
        <v>48.981329999999922</v>
      </c>
      <c r="U365" s="311">
        <f t="shared" ca="1" si="147"/>
        <v>0</v>
      </c>
      <c r="V365" s="306">
        <f t="shared" ca="1" si="148"/>
        <v>1.1242515992068096</v>
      </c>
      <c r="W365" s="304">
        <f t="shared" ca="1" si="149"/>
        <v>282.73681960129096</v>
      </c>
      <c r="Y365" s="314" t="str">
        <f t="shared" ca="1" si="167"/>
        <v/>
      </c>
      <c r="Z365" s="315" t="str">
        <f t="shared" ca="1" si="168"/>
        <v/>
      </c>
      <c r="AA365" s="316" t="str">
        <f t="shared" ca="1" si="169"/>
        <v/>
      </c>
      <c r="AC365" s="310" t="e">
        <f t="shared" ca="1" si="170"/>
        <v>#N/A</v>
      </c>
      <c r="AD365" s="323" t="e">
        <f t="shared" ca="1" si="171"/>
        <v>#N/A</v>
      </c>
      <c r="AE365" s="324">
        <f t="shared" ca="1" si="150"/>
        <v>857.70635062848544</v>
      </c>
      <c r="AG365" s="306">
        <f t="shared" ca="1" si="172"/>
        <v>-66.520338081947244</v>
      </c>
      <c r="AH365" s="304">
        <f t="shared" ca="1" si="173"/>
        <v>-56.913120082213638</v>
      </c>
    </row>
    <row r="366" spans="1:34" x14ac:dyDescent="0.2">
      <c r="A366" s="347">
        <f t="shared" ca="1" si="151"/>
        <v>0.01</v>
      </c>
      <c r="B366" s="304">
        <f t="shared" ca="1" si="152"/>
        <v>3.6199999999999668</v>
      </c>
      <c r="D366" s="306">
        <f t="shared" ca="1" si="153"/>
        <v>-11.458026845752569</v>
      </c>
      <c r="E366" s="307">
        <f t="shared" ca="1" si="154"/>
        <v>-65.265298362103948</v>
      </c>
      <c r="F366" s="304">
        <f t="shared" ca="1" si="155"/>
        <v>66.263455610860163</v>
      </c>
      <c r="G366" s="306">
        <f t="shared" ca="1" si="156"/>
        <v>56.220283805975861</v>
      </c>
      <c r="H366" s="307">
        <f t="shared" ca="1" si="157"/>
        <v>272.00046063640423</v>
      </c>
      <c r="I366" s="304">
        <f t="shared" ca="1" si="158"/>
        <v>277.74983509921401</v>
      </c>
      <c r="J366" s="306">
        <f t="shared" ca="1" si="159"/>
        <v>168.07421653354444</v>
      </c>
      <c r="K366" s="307">
        <f t="shared" ca="1" si="160"/>
        <v>860.42961849976757</v>
      </c>
      <c r="L366" s="304">
        <f t="shared" ca="1" si="145"/>
        <v>876.6915481827233</v>
      </c>
      <c r="M366" s="306">
        <f t="shared" ca="1" si="161"/>
        <v>1.3669746350632508</v>
      </c>
      <c r="N366" s="304">
        <f t="shared" ca="1" si="162"/>
        <v>78.321877290560195</v>
      </c>
      <c r="P366" s="310">
        <f t="shared" ca="1" si="163"/>
        <v>23</v>
      </c>
      <c r="Q366" s="304">
        <f t="shared" ca="1" si="164"/>
        <v>0</v>
      </c>
      <c r="R366" s="306">
        <f t="shared" ca="1" si="165"/>
        <v>0</v>
      </c>
      <c r="S366" s="307">
        <f t="shared" ca="1" si="166"/>
        <v>4.9929999999999914</v>
      </c>
      <c r="T366" s="304">
        <f t="shared" ca="1" si="146"/>
        <v>48.981329999999922</v>
      </c>
      <c r="U366" s="311">
        <f t="shared" ca="1" si="147"/>
        <v>0</v>
      </c>
      <c r="V366" s="306">
        <f t="shared" ca="1" si="148"/>
        <v>1.1239449113044662</v>
      </c>
      <c r="W366" s="304">
        <f t="shared" ca="1" si="149"/>
        <v>281.31640826675118</v>
      </c>
      <c r="Y366" s="314" t="str">
        <f t="shared" ca="1" si="167"/>
        <v/>
      </c>
      <c r="Z366" s="315" t="str">
        <f t="shared" ca="1" si="168"/>
        <v/>
      </c>
      <c r="AA366" s="316" t="str">
        <f t="shared" ca="1" si="169"/>
        <v/>
      </c>
      <c r="AC366" s="310" t="e">
        <f t="shared" ca="1" si="170"/>
        <v>#N/A</v>
      </c>
      <c r="AD366" s="323" t="e">
        <f t="shared" ca="1" si="171"/>
        <v>#N/A</v>
      </c>
      <c r="AE366" s="324">
        <f t="shared" ca="1" si="150"/>
        <v>860.42961849976757</v>
      </c>
      <c r="AG366" s="306">
        <f t="shared" ca="1" si="172"/>
        <v>-66.233717767643441</v>
      </c>
      <c r="AH366" s="304">
        <f t="shared" ca="1" si="173"/>
        <v>-56.626641217963439</v>
      </c>
    </row>
    <row r="367" spans="1:34" x14ac:dyDescent="0.2">
      <c r="A367" s="347">
        <f t="shared" ca="1" si="151"/>
        <v>0.01</v>
      </c>
      <c r="B367" s="304">
        <f t="shared" ca="1" si="152"/>
        <v>3.6299999999999666</v>
      </c>
      <c r="D367" s="306">
        <f t="shared" ca="1" si="153"/>
        <v>-11.404407359753936</v>
      </c>
      <c r="E367" s="307">
        <f t="shared" ca="1" si="154"/>
        <v>-64.985887511413537</v>
      </c>
      <c r="F367" s="304">
        <f t="shared" ca="1" si="155"/>
        <v>65.978982129715405</v>
      </c>
      <c r="G367" s="306">
        <f t="shared" ca="1" si="156"/>
        <v>56.10623973237832</v>
      </c>
      <c r="H367" s="307">
        <f t="shared" ca="1" si="157"/>
        <v>271.35060176129008</v>
      </c>
      <c r="I367" s="304">
        <f t="shared" ca="1" si="158"/>
        <v>277.09034485727096</v>
      </c>
      <c r="J367" s="306">
        <f t="shared" ca="1" si="159"/>
        <v>168.63584915123621</v>
      </c>
      <c r="K367" s="307">
        <f t="shared" ca="1" si="160"/>
        <v>863.14637381175601</v>
      </c>
      <c r="L367" s="304">
        <f t="shared" ca="1" si="145"/>
        <v>879.46558331940548</v>
      </c>
      <c r="M367" s="306">
        <f t="shared" ca="1" si="161"/>
        <v>1.3669029734074856</v>
      </c>
      <c r="N367" s="304">
        <f t="shared" ca="1" si="162"/>
        <v>78.317771380131916</v>
      </c>
      <c r="P367" s="310">
        <f t="shared" ca="1" si="163"/>
        <v>23</v>
      </c>
      <c r="Q367" s="304">
        <f t="shared" ca="1" si="164"/>
        <v>0</v>
      </c>
      <c r="R367" s="306">
        <f t="shared" ca="1" si="165"/>
        <v>0</v>
      </c>
      <c r="S367" s="307">
        <f t="shared" ca="1" si="166"/>
        <v>4.9929999999999914</v>
      </c>
      <c r="T367" s="304">
        <f t="shared" ca="1" si="146"/>
        <v>48.981329999999922</v>
      </c>
      <c r="U367" s="311">
        <f t="shared" ca="1" si="147"/>
        <v>0</v>
      </c>
      <c r="V367" s="306">
        <f t="shared" ca="1" si="148"/>
        <v>1.1236390366079554</v>
      </c>
      <c r="W367" s="304">
        <f t="shared" ca="1" si="149"/>
        <v>279.90588141674579</v>
      </c>
      <c r="Y367" s="314" t="str">
        <f t="shared" ca="1" si="167"/>
        <v/>
      </c>
      <c r="Z367" s="315" t="str">
        <f t="shared" ca="1" si="168"/>
        <v/>
      </c>
      <c r="AA367" s="316" t="str">
        <f t="shared" ca="1" si="169"/>
        <v/>
      </c>
      <c r="AC367" s="310" t="e">
        <f t="shared" ca="1" si="170"/>
        <v>#N/A</v>
      </c>
      <c r="AD367" s="323" t="e">
        <f t="shared" ca="1" si="171"/>
        <v>#N/A</v>
      </c>
      <c r="AE367" s="324">
        <f t="shared" ca="1" si="150"/>
        <v>863.14637381175601</v>
      </c>
      <c r="AG367" s="306">
        <f t="shared" ca="1" si="172"/>
        <v>-65.949095342689532</v>
      </c>
      <c r="AH367" s="304">
        <f t="shared" ca="1" si="173"/>
        <v>-56.342160678299955</v>
      </c>
    </row>
    <row r="368" spans="1:34" x14ac:dyDescent="0.2">
      <c r="A368" s="347">
        <f t="shared" ca="1" si="151"/>
        <v>0.01</v>
      </c>
      <c r="B368" s="304">
        <f t="shared" ca="1" si="152"/>
        <v>3.6399999999999664</v>
      </c>
      <c r="D368" s="306">
        <f t="shared" ca="1" si="153"/>
        <v>-11.351159543547785</v>
      </c>
      <c r="E368" s="307">
        <f t="shared" ca="1" si="154"/>
        <v>-64.708421058372622</v>
      </c>
      <c r="F368" s="304">
        <f t="shared" ca="1" si="155"/>
        <v>65.696488329671908</v>
      </c>
      <c r="G368" s="306">
        <f t="shared" ca="1" si="156"/>
        <v>55.992728136942844</v>
      </c>
      <c r="H368" s="307">
        <f t="shared" ca="1" si="157"/>
        <v>270.70351755070635</v>
      </c>
      <c r="I368" s="304">
        <f t="shared" ca="1" si="158"/>
        <v>276.43368104943937</v>
      </c>
      <c r="J368" s="306">
        <f t="shared" ca="1" si="159"/>
        <v>169.19634399058282</v>
      </c>
      <c r="K368" s="307">
        <f t="shared" ca="1" si="160"/>
        <v>865.85664440831601</v>
      </c>
      <c r="L368" s="304">
        <f t="shared" ca="1" si="145"/>
        <v>882.23303694988022</v>
      </c>
      <c r="M368" s="306">
        <f t="shared" ca="1" si="161"/>
        <v>1.3668311166161164</v>
      </c>
      <c r="N368" s="304">
        <f t="shared" ca="1" si="162"/>
        <v>78.313654289257116</v>
      </c>
      <c r="P368" s="310">
        <f t="shared" ca="1" si="163"/>
        <v>23</v>
      </c>
      <c r="Q368" s="304">
        <f t="shared" ca="1" si="164"/>
        <v>0</v>
      </c>
      <c r="R368" s="306">
        <f t="shared" ca="1" si="165"/>
        <v>0</v>
      </c>
      <c r="S368" s="307">
        <f t="shared" ca="1" si="166"/>
        <v>4.9929999999999914</v>
      </c>
      <c r="T368" s="304">
        <f t="shared" ca="1" si="146"/>
        <v>48.981329999999922</v>
      </c>
      <c r="U368" s="311">
        <f t="shared" ca="1" si="147"/>
        <v>0</v>
      </c>
      <c r="V368" s="306">
        <f t="shared" ca="1" si="148"/>
        <v>1.123333971379562</v>
      </c>
      <c r="W368" s="304">
        <f t="shared" ca="1" si="149"/>
        <v>278.50514699204098</v>
      </c>
      <c r="Y368" s="314" t="str">
        <f t="shared" ca="1" si="167"/>
        <v/>
      </c>
      <c r="Z368" s="315" t="str">
        <f t="shared" ca="1" si="168"/>
        <v/>
      </c>
      <c r="AA368" s="316" t="str">
        <f t="shared" ca="1" si="169"/>
        <v/>
      </c>
      <c r="AC368" s="310" t="e">
        <f t="shared" ca="1" si="170"/>
        <v>#N/A</v>
      </c>
      <c r="AD368" s="323" t="e">
        <f t="shared" ca="1" si="171"/>
        <v>#N/A</v>
      </c>
      <c r="AE368" s="324">
        <f t="shared" ca="1" si="150"/>
        <v>865.85664440831601</v>
      </c>
      <c r="AG368" s="306">
        <f t="shared" ca="1" si="172"/>
        <v>-65.666452150022124</v>
      </c>
      <c r="AH368" s="304">
        <f t="shared" ca="1" si="173"/>
        <v>-56.059659807079164</v>
      </c>
    </row>
    <row r="369" spans="1:34" x14ac:dyDescent="0.2">
      <c r="A369" s="347">
        <f t="shared" ca="1" si="151"/>
        <v>0.01</v>
      </c>
      <c r="B369" s="304">
        <f t="shared" ca="1" si="152"/>
        <v>3.6499999999999662</v>
      </c>
      <c r="D369" s="306">
        <f t="shared" ca="1" si="153"/>
        <v>-11.298279932285277</v>
      </c>
      <c r="E369" s="307">
        <f t="shared" ca="1" si="154"/>
        <v>-64.432880893782624</v>
      </c>
      <c r="F369" s="304">
        <f t="shared" ca="1" si="155"/>
        <v>65.41595577304254</v>
      </c>
      <c r="G369" s="306">
        <f t="shared" ca="1" si="156"/>
        <v>55.879745337619994</v>
      </c>
      <c r="H369" s="307">
        <f t="shared" ca="1" si="157"/>
        <v>270.05918874176854</v>
      </c>
      <c r="I369" s="304">
        <f t="shared" ca="1" si="158"/>
        <v>275.77982406778676</v>
      </c>
      <c r="J369" s="306">
        <f t="shared" ca="1" si="159"/>
        <v>169.75570635795563</v>
      </c>
      <c r="K369" s="307">
        <f t="shared" ca="1" si="160"/>
        <v>868.56045793977842</v>
      </c>
      <c r="L369" s="304">
        <f t="shared" ca="1" si="145"/>
        <v>884.99393723214064</v>
      </c>
      <c r="M369" s="306">
        <f t="shared" ca="1" si="161"/>
        <v>1.3667590644255863</v>
      </c>
      <c r="N369" s="304">
        <f t="shared" ca="1" si="162"/>
        <v>78.309526002835071</v>
      </c>
      <c r="P369" s="310">
        <f t="shared" ca="1" si="163"/>
        <v>23</v>
      </c>
      <c r="Q369" s="304">
        <f t="shared" ca="1" si="164"/>
        <v>0</v>
      </c>
      <c r="R369" s="306">
        <f t="shared" ca="1" si="165"/>
        <v>0</v>
      </c>
      <c r="S369" s="307">
        <f t="shared" ca="1" si="166"/>
        <v>4.9929999999999914</v>
      </c>
      <c r="T369" s="304">
        <f t="shared" ca="1" si="146"/>
        <v>48.981329999999922</v>
      </c>
      <c r="U369" s="311">
        <f t="shared" ca="1" si="147"/>
        <v>0</v>
      </c>
      <c r="V369" s="306">
        <f t="shared" ca="1" si="148"/>
        <v>1.1230297119084307</v>
      </c>
      <c r="W369" s="304">
        <f t="shared" ca="1" si="149"/>
        <v>277.11411400894769</v>
      </c>
      <c r="Y369" s="314" t="str">
        <f t="shared" ca="1" si="167"/>
        <v/>
      </c>
      <c r="Z369" s="315" t="str">
        <f t="shared" ca="1" si="168"/>
        <v/>
      </c>
      <c r="AA369" s="316" t="str">
        <f t="shared" ca="1" si="169"/>
        <v/>
      </c>
      <c r="AC369" s="310" t="e">
        <f t="shared" ca="1" si="170"/>
        <v>#N/A</v>
      </c>
      <c r="AD369" s="323" t="e">
        <f t="shared" ca="1" si="171"/>
        <v>#N/A</v>
      </c>
      <c r="AE369" s="324">
        <f t="shared" ca="1" si="150"/>
        <v>868.56045793977842</v>
      </c>
      <c r="AG369" s="306">
        <f t="shared" ca="1" si="172"/>
        <v>-65.38576975105849</v>
      </c>
      <c r="AH369" s="304">
        <f t="shared" ca="1" si="173"/>
        <v>-55.77912016664159</v>
      </c>
    </row>
    <row r="370" spans="1:34" x14ac:dyDescent="0.2">
      <c r="A370" s="347">
        <f t="shared" ca="1" si="151"/>
        <v>0.01</v>
      </c>
      <c r="B370" s="304">
        <f t="shared" ca="1" si="152"/>
        <v>3.6599999999999659</v>
      </c>
      <c r="D370" s="306">
        <f t="shared" ca="1" si="153"/>
        <v>-11.245765101595852</v>
      </c>
      <c r="E370" s="307">
        <f t="shared" ca="1" si="154"/>
        <v>-64.15924912001789</v>
      </c>
      <c r="F370" s="304">
        <f t="shared" ca="1" si="155"/>
        <v>65.137366237550538</v>
      </c>
      <c r="G370" s="306">
        <f t="shared" ca="1" si="156"/>
        <v>55.767287686604035</v>
      </c>
      <c r="H370" s="307">
        <f t="shared" ca="1" si="157"/>
        <v>269.41759625056835</v>
      </c>
      <c r="I370" s="304">
        <f t="shared" ca="1" si="158"/>
        <v>275.12875448661254</v>
      </c>
      <c r="J370" s="306">
        <f t="shared" ca="1" si="159"/>
        <v>170.31394152307675</v>
      </c>
      <c r="K370" s="307">
        <f t="shared" ca="1" si="160"/>
        <v>871.25784186474016</v>
      </c>
      <c r="L370" s="304">
        <f t="shared" ca="1" si="145"/>
        <v>887.7483121290237</v>
      </c>
      <c r="M370" s="306">
        <f t="shared" ca="1" si="161"/>
        <v>1.3666868165712491</v>
      </c>
      <c r="N370" s="304">
        <f t="shared" ca="1" si="162"/>
        <v>78.305386505702671</v>
      </c>
      <c r="P370" s="310">
        <f t="shared" ca="1" si="163"/>
        <v>23</v>
      </c>
      <c r="Q370" s="304">
        <f t="shared" ca="1" si="164"/>
        <v>0</v>
      </c>
      <c r="R370" s="306">
        <f t="shared" ca="1" si="165"/>
        <v>0</v>
      </c>
      <c r="S370" s="307">
        <f t="shared" ca="1" si="166"/>
        <v>4.9929999999999914</v>
      </c>
      <c r="T370" s="304">
        <f t="shared" ca="1" si="146"/>
        <v>48.981329999999922</v>
      </c>
      <c r="U370" s="311">
        <f t="shared" ca="1" si="147"/>
        <v>0</v>
      </c>
      <c r="V370" s="306">
        <f t="shared" ca="1" si="148"/>
        <v>1.1227262545103081</v>
      </c>
      <c r="W370" s="304">
        <f t="shared" ca="1" si="149"/>
        <v>275.73269254422627</v>
      </c>
      <c r="Y370" s="314" t="str">
        <f t="shared" ca="1" si="167"/>
        <v/>
      </c>
      <c r="Z370" s="315" t="str">
        <f t="shared" ca="1" si="168"/>
        <v/>
      </c>
      <c r="AA370" s="316" t="str">
        <f t="shared" ca="1" si="169"/>
        <v/>
      </c>
      <c r="AC370" s="310" t="e">
        <f t="shared" ca="1" si="170"/>
        <v>#N/A</v>
      </c>
      <c r="AD370" s="323" t="e">
        <f t="shared" ca="1" si="171"/>
        <v>#N/A</v>
      </c>
      <c r="AE370" s="324">
        <f t="shared" ca="1" si="150"/>
        <v>871.25784186474016</v>
      </c>
      <c r="AG370" s="306">
        <f t="shared" ca="1" si="172"/>
        <v>-65.107029922622388</v>
      </c>
      <c r="AH370" s="304">
        <f t="shared" ca="1" si="173"/>
        <v>-55.500523534738271</v>
      </c>
    </row>
    <row r="371" spans="1:34" x14ac:dyDescent="0.2">
      <c r="A371" s="347">
        <f t="shared" ca="1" si="151"/>
        <v>0.01</v>
      </c>
      <c r="B371" s="304">
        <f t="shared" ca="1" si="152"/>
        <v>3.6699999999999657</v>
      </c>
      <c r="D371" s="306">
        <f t="shared" ca="1" si="153"/>
        <v>-11.193611667019111</v>
      </c>
      <c r="E371" s="307">
        <f t="shared" ca="1" si="154"/>
        <v>-63.887508048056382</v>
      </c>
      <c r="F371" s="304">
        <f t="shared" ca="1" si="155"/>
        <v>64.860701713306298</v>
      </c>
      <c r="G371" s="306">
        <f t="shared" ca="1" si="156"/>
        <v>55.655351569933842</v>
      </c>
      <c r="H371" s="307">
        <f t="shared" ca="1" si="157"/>
        <v>268.77872117008781</v>
      </c>
      <c r="I371" s="304">
        <f t="shared" ca="1" si="158"/>
        <v>274.48045306032407</v>
      </c>
      <c r="J371" s="306">
        <f t="shared" ca="1" si="159"/>
        <v>170.87105471935945</v>
      </c>
      <c r="K371" s="307">
        <f t="shared" ca="1" si="160"/>
        <v>873.9488234518434</v>
      </c>
      <c r="L371" s="304">
        <f t="shared" ca="1" si="145"/>
        <v>890.49618941002075</v>
      </c>
      <c r="M371" s="306">
        <f t="shared" ca="1" si="161"/>
        <v>1.3666143727873683</v>
      </c>
      <c r="N371" s="304">
        <f t="shared" ca="1" si="162"/>
        <v>78.30123578263435</v>
      </c>
      <c r="P371" s="310">
        <f t="shared" ca="1" si="163"/>
        <v>23</v>
      </c>
      <c r="Q371" s="304">
        <f t="shared" ca="1" si="164"/>
        <v>0</v>
      </c>
      <c r="R371" s="306">
        <f t="shared" ca="1" si="165"/>
        <v>0</v>
      </c>
      <c r="S371" s="307">
        <f t="shared" ca="1" si="166"/>
        <v>4.9929999999999914</v>
      </c>
      <c r="T371" s="304">
        <f t="shared" ca="1" si="146"/>
        <v>48.981329999999922</v>
      </c>
      <c r="U371" s="311">
        <f t="shared" ca="1" si="147"/>
        <v>0</v>
      </c>
      <c r="V371" s="306">
        <f t="shared" ca="1" si="148"/>
        <v>1.1224235955272914</v>
      </c>
      <c r="W371" s="304">
        <f t="shared" ca="1" si="149"/>
        <v>274.3607937202375</v>
      </c>
      <c r="Y371" s="314" t="str">
        <f t="shared" ca="1" si="167"/>
        <v/>
      </c>
      <c r="Z371" s="315" t="str">
        <f t="shared" ca="1" si="168"/>
        <v/>
      </c>
      <c r="AA371" s="316" t="str">
        <f t="shared" ca="1" si="169"/>
        <v/>
      </c>
      <c r="AC371" s="310" t="e">
        <f t="shared" ca="1" si="170"/>
        <v>#N/A</v>
      </c>
      <c r="AD371" s="323" t="e">
        <f t="shared" ca="1" si="171"/>
        <v>#N/A</v>
      </c>
      <c r="AE371" s="324">
        <f t="shared" ca="1" si="150"/>
        <v>873.9488234518434</v>
      </c>
      <c r="AG371" s="306">
        <f t="shared" ca="1" si="172"/>
        <v>-64.83021465392082</v>
      </c>
      <c r="AH371" s="304">
        <f t="shared" ca="1" si="173"/>
        <v>-55.223851901507459</v>
      </c>
    </row>
    <row r="372" spans="1:34" x14ac:dyDescent="0.2">
      <c r="A372" s="347">
        <f t="shared" ca="1" si="151"/>
        <v>0.01</v>
      </c>
      <c r="B372" s="304">
        <f t="shared" ca="1" si="152"/>
        <v>3.6799999999999655</v>
      </c>
      <c r="D372" s="306">
        <f t="shared" ca="1" si="153"/>
        <v>-11.14181628344595</v>
      </c>
      <c r="E372" s="307">
        <f t="shared" ca="1" si="154"/>
        <v>-63.617640194558639</v>
      </c>
      <c r="F372" s="304">
        <f t="shared" ca="1" si="155"/>
        <v>64.585944399833494</v>
      </c>
      <c r="G372" s="306">
        <f t="shared" ca="1" si="156"/>
        <v>55.543933407099381</v>
      </c>
      <c r="H372" s="307">
        <f t="shared" ca="1" si="157"/>
        <v>268.14254476814222</v>
      </c>
      <c r="I372" s="304">
        <f t="shared" ca="1" si="158"/>
        <v>273.83490072134242</v>
      </c>
      <c r="J372" s="306">
        <f t="shared" ca="1" si="159"/>
        <v>171.42705114424461</v>
      </c>
      <c r="K372" s="307">
        <f t="shared" ca="1" si="160"/>
        <v>876.63342978153457</v>
      </c>
      <c r="L372" s="304">
        <f t="shared" ca="1" si="145"/>
        <v>893.2375966530675</v>
      </c>
      <c r="M372" s="306">
        <f t="shared" ca="1" si="161"/>
        <v>1.3665417328071128</v>
      </c>
      <c r="N372" s="304">
        <f t="shared" ca="1" si="162"/>
        <v>78.297073818341786</v>
      </c>
      <c r="P372" s="310">
        <f t="shared" ca="1" si="163"/>
        <v>23</v>
      </c>
      <c r="Q372" s="304">
        <f t="shared" ca="1" si="164"/>
        <v>0</v>
      </c>
      <c r="R372" s="306">
        <f t="shared" ca="1" si="165"/>
        <v>0</v>
      </c>
      <c r="S372" s="307">
        <f t="shared" ca="1" si="166"/>
        <v>4.9929999999999914</v>
      </c>
      <c r="T372" s="304">
        <f t="shared" ca="1" si="146"/>
        <v>48.981329999999922</v>
      </c>
      <c r="U372" s="311">
        <f t="shared" ca="1" si="147"/>
        <v>0</v>
      </c>
      <c r="V372" s="306">
        <f t="shared" ca="1" si="148"/>
        <v>1.1221217313275769</v>
      </c>
      <c r="W372" s="304">
        <f t="shared" ca="1" si="149"/>
        <v>272.99832969033605</v>
      </c>
      <c r="Y372" s="314" t="str">
        <f t="shared" ca="1" si="167"/>
        <v/>
      </c>
      <c r="Z372" s="315" t="str">
        <f t="shared" ca="1" si="168"/>
        <v/>
      </c>
      <c r="AA372" s="316" t="str">
        <f t="shared" ca="1" si="169"/>
        <v/>
      </c>
      <c r="AC372" s="310" t="e">
        <f t="shared" ca="1" si="170"/>
        <v>#N/A</v>
      </c>
      <c r="AD372" s="323" t="e">
        <f t="shared" ca="1" si="171"/>
        <v>#N/A</v>
      </c>
      <c r="AE372" s="324">
        <f t="shared" ca="1" si="150"/>
        <v>876.63342978153457</v>
      </c>
      <c r="AG372" s="306">
        <f t="shared" ca="1" si="172"/>
        <v>-64.555306143570121</v>
      </c>
      <c r="AH372" s="304">
        <f t="shared" ca="1" si="173"/>
        <v>-54.949087466500693</v>
      </c>
    </row>
    <row r="373" spans="1:34" x14ac:dyDescent="0.2">
      <c r="A373" s="347">
        <f t="shared" ca="1" si="151"/>
        <v>0.01</v>
      </c>
      <c r="B373" s="304">
        <f t="shared" ca="1" si="152"/>
        <v>3.6899999999999653</v>
      </c>
      <c r="D373" s="306">
        <f t="shared" ca="1" si="153"/>
        <v>-11.090375644568882</v>
      </c>
      <c r="E373" s="307">
        <f t="shared" ca="1" si="154"/>
        <v>-63.349628278994494</v>
      </c>
      <c r="F373" s="304">
        <f t="shared" ca="1" si="155"/>
        <v>64.313076703143551</v>
      </c>
      <c r="G373" s="306">
        <f t="shared" ca="1" si="156"/>
        <v>55.433029650653694</v>
      </c>
      <c r="H373" s="307">
        <f t="shared" ca="1" si="157"/>
        <v>267.50904848535225</v>
      </c>
      <c r="I373" s="304">
        <f t="shared" ca="1" si="158"/>
        <v>273.19207857803781</v>
      </c>
      <c r="J373" s="306">
        <f t="shared" ca="1" si="159"/>
        <v>171.98193595953339</v>
      </c>
      <c r="K373" s="307">
        <f t="shared" ca="1" si="160"/>
        <v>879.31168774780201</v>
      </c>
      <c r="L373" s="304">
        <f t="shared" ca="1" si="145"/>
        <v>895.97256124631247</v>
      </c>
      <c r="M373" s="306">
        <f t="shared" ca="1" si="161"/>
        <v>1.3664688963625564</v>
      </c>
      <c r="N373" s="304">
        <f t="shared" ca="1" si="162"/>
        <v>78.292900597473974</v>
      </c>
      <c r="P373" s="310">
        <f t="shared" ca="1" si="163"/>
        <v>23</v>
      </c>
      <c r="Q373" s="304">
        <f t="shared" ca="1" si="164"/>
        <v>0</v>
      </c>
      <c r="R373" s="306">
        <f t="shared" ca="1" si="165"/>
        <v>0</v>
      </c>
      <c r="S373" s="307">
        <f t="shared" ca="1" si="166"/>
        <v>4.9929999999999914</v>
      </c>
      <c r="T373" s="304">
        <f t="shared" ca="1" si="146"/>
        <v>48.981329999999922</v>
      </c>
      <c r="U373" s="311">
        <f t="shared" ca="1" si="147"/>
        <v>0</v>
      </c>
      <c r="V373" s="306">
        <f t="shared" ca="1" si="148"/>
        <v>1.1218206583052117</v>
      </c>
      <c r="W373" s="304">
        <f t="shared" ca="1" si="149"/>
        <v>271.64521362450273</v>
      </c>
      <c r="Y373" s="314" t="str">
        <f t="shared" ca="1" si="167"/>
        <v/>
      </c>
      <c r="Z373" s="315" t="str">
        <f t="shared" ca="1" si="168"/>
        <v/>
      </c>
      <c r="AA373" s="316" t="str">
        <f t="shared" ca="1" si="169"/>
        <v/>
      </c>
      <c r="AC373" s="310" t="e">
        <f t="shared" ca="1" si="170"/>
        <v>#N/A</v>
      </c>
      <c r="AD373" s="323" t="e">
        <f t="shared" ca="1" si="171"/>
        <v>#N/A</v>
      </c>
      <c r="AE373" s="324">
        <f t="shared" ca="1" si="150"/>
        <v>879.31168774780201</v>
      </c>
      <c r="AG373" s="306">
        <f t="shared" ca="1" si="172"/>
        <v>-64.282286796670405</v>
      </c>
      <c r="AH373" s="304">
        <f t="shared" ca="1" si="173"/>
        <v>-54.676212635757366</v>
      </c>
    </row>
    <row r="374" spans="1:34" x14ac:dyDescent="0.2">
      <c r="A374" s="347">
        <f t="shared" ca="1" si="151"/>
        <v>0.01</v>
      </c>
      <c r="B374" s="304">
        <f t="shared" ca="1" si="152"/>
        <v>3.6999999999999651</v>
      </c>
      <c r="D374" s="306">
        <f t="shared" ca="1" si="153"/>
        <v>-11.039286482341202</v>
      </c>
      <c r="E374" s="307">
        <f t="shared" ca="1" si="154"/>
        <v>-63.083455220816759</v>
      </c>
      <c r="F374" s="304">
        <f t="shared" ca="1" si="155"/>
        <v>64.042081232858095</v>
      </c>
      <c r="G374" s="306">
        <f t="shared" ca="1" si="156"/>
        <v>55.322636785830284</v>
      </c>
      <c r="H374" s="307">
        <f t="shared" ca="1" si="157"/>
        <v>266.87821393314408</v>
      </c>
      <c r="I374" s="304">
        <f t="shared" ca="1" si="158"/>
        <v>272.5519679126935</v>
      </c>
      <c r="J374" s="306">
        <f t="shared" ca="1" si="159"/>
        <v>172.53571429171581</v>
      </c>
      <c r="K374" s="307">
        <f t="shared" ca="1" si="160"/>
        <v>881.98362405989451</v>
      </c>
      <c r="L374" s="304">
        <f t="shared" ca="1" si="145"/>
        <v>898.7011103898659</v>
      </c>
      <c r="M374" s="306">
        <f t="shared" ca="1" si="161"/>
        <v>1.3663958631846738</v>
      </c>
      <c r="N374" s="304">
        <f t="shared" ca="1" si="162"/>
        <v>78.288716104616867</v>
      </c>
      <c r="P374" s="310">
        <f t="shared" ca="1" si="163"/>
        <v>23</v>
      </c>
      <c r="Q374" s="304">
        <f t="shared" ca="1" si="164"/>
        <v>0</v>
      </c>
      <c r="R374" s="306">
        <f t="shared" ca="1" si="165"/>
        <v>0</v>
      </c>
      <c r="S374" s="307">
        <f t="shared" ca="1" si="166"/>
        <v>4.9929999999999914</v>
      </c>
      <c r="T374" s="304">
        <f t="shared" ca="1" si="146"/>
        <v>48.981329999999922</v>
      </c>
      <c r="U374" s="311">
        <f t="shared" ca="1" si="147"/>
        <v>0</v>
      </c>
      <c r="V374" s="306">
        <f t="shared" ca="1" si="148"/>
        <v>1.1215203728798524</v>
      </c>
      <c r="W374" s="304">
        <f t="shared" ca="1" si="149"/>
        <v>270.30135969521098</v>
      </c>
      <c r="Y374" s="314" t="str">
        <f t="shared" ca="1" si="167"/>
        <v/>
      </c>
      <c r="Z374" s="315" t="str">
        <f t="shared" ca="1" si="168"/>
        <v/>
      </c>
      <c r="AA374" s="316" t="str">
        <f t="shared" ca="1" si="169"/>
        <v/>
      </c>
      <c r="AC374" s="310" t="e">
        <f t="shared" ca="1" si="170"/>
        <v>#N/A</v>
      </c>
      <c r="AD374" s="323" t="e">
        <f t="shared" ca="1" si="171"/>
        <v>#N/A</v>
      </c>
      <c r="AE374" s="324">
        <f t="shared" ca="1" si="150"/>
        <v>881.98362405989451</v>
      </c>
      <c r="AG374" s="306">
        <f t="shared" ca="1" si="172"/>
        <v>-64.01113922192809</v>
      </c>
      <c r="AH374" s="304">
        <f t="shared" ca="1" si="173"/>
        <v>-54.405210018927136</v>
      </c>
    </row>
    <row r="375" spans="1:34" x14ac:dyDescent="0.2">
      <c r="A375" s="347">
        <f t="shared" ca="1" si="151"/>
        <v>0.01</v>
      </c>
      <c r="B375" s="304">
        <f t="shared" ca="1" si="152"/>
        <v>3.7099999999999649</v>
      </c>
      <c r="D375" s="306">
        <f t="shared" ca="1" si="153"/>
        <v>-10.988545566445175</v>
      </c>
      <c r="E375" s="307">
        <f t="shared" ca="1" si="154"/>
        <v>-62.819104136681005</v>
      </c>
      <c r="F375" s="304">
        <f t="shared" ca="1" si="155"/>
        <v>63.77294079937834</v>
      </c>
      <c r="G375" s="306">
        <f t="shared" ca="1" si="156"/>
        <v>55.21275133016583</v>
      </c>
      <c r="H375" s="307">
        <f t="shared" ca="1" si="157"/>
        <v>266.25002289177729</v>
      </c>
      <c r="I375" s="304">
        <f t="shared" ca="1" si="158"/>
        <v>271.91455017949784</v>
      </c>
      <c r="J375" s="306">
        <f t="shared" ca="1" si="159"/>
        <v>173.08839123229578</v>
      </c>
      <c r="K375" s="307">
        <f t="shared" ca="1" si="160"/>
        <v>884.64926524401915</v>
      </c>
      <c r="L375" s="304">
        <f t="shared" ca="1" si="145"/>
        <v>901.42327109752785</v>
      </c>
      <c r="M375" s="306">
        <f t="shared" ca="1" si="161"/>
        <v>1.3663226330033391</v>
      </c>
      <c r="N375" s="304">
        <f t="shared" ca="1" si="162"/>
        <v>78.28452032429341</v>
      </c>
      <c r="P375" s="310">
        <f t="shared" ca="1" si="163"/>
        <v>23</v>
      </c>
      <c r="Q375" s="304">
        <f t="shared" ca="1" si="164"/>
        <v>0</v>
      </c>
      <c r="R375" s="306">
        <f t="shared" ca="1" si="165"/>
        <v>0</v>
      </c>
      <c r="S375" s="307">
        <f t="shared" ca="1" si="166"/>
        <v>4.9929999999999914</v>
      </c>
      <c r="T375" s="304">
        <f t="shared" ca="1" si="146"/>
        <v>48.981329999999922</v>
      </c>
      <c r="U375" s="311">
        <f t="shared" ca="1" si="147"/>
        <v>0</v>
      </c>
      <c r="V375" s="306">
        <f t="shared" ca="1" si="148"/>
        <v>1.1212208714965213</v>
      </c>
      <c r="W375" s="304">
        <f t="shared" ca="1" si="149"/>
        <v>268.96668306352035</v>
      </c>
      <c r="Y375" s="314" t="str">
        <f t="shared" ca="1" si="167"/>
        <v/>
      </c>
      <c r="Z375" s="315" t="str">
        <f t="shared" ca="1" si="168"/>
        <v/>
      </c>
      <c r="AA375" s="316" t="str">
        <f t="shared" ca="1" si="169"/>
        <v/>
      </c>
      <c r="AC375" s="310" t="e">
        <f t="shared" ca="1" si="170"/>
        <v>#N/A</v>
      </c>
      <c r="AD375" s="323" t="e">
        <f t="shared" ca="1" si="171"/>
        <v>#N/A</v>
      </c>
      <c r="AE375" s="324">
        <f t="shared" ca="1" si="150"/>
        <v>884.64926524401915</v>
      </c>
      <c r="AG375" s="306">
        <f t="shared" ca="1" si="172"/>
        <v>-63.741846228825167</v>
      </c>
      <c r="AH375" s="304">
        <f t="shared" ca="1" si="173"/>
        <v>-54.136062426439302</v>
      </c>
    </row>
    <row r="376" spans="1:34" x14ac:dyDescent="0.2">
      <c r="A376" s="347">
        <f t="shared" ca="1" si="151"/>
        <v>0.01</v>
      </c>
      <c r="B376" s="304">
        <f t="shared" ca="1" si="152"/>
        <v>3.7199999999999647</v>
      </c>
      <c r="D376" s="306">
        <f t="shared" ca="1" si="153"/>
        <v>-10.938149703768559</v>
      </c>
      <c r="E376" s="307">
        <f t="shared" ca="1" si="154"/>
        <v>-62.556558337709959</v>
      </c>
      <c r="F376" s="304">
        <f t="shared" ca="1" si="155"/>
        <v>63.505638411099859</v>
      </c>
      <c r="G376" s="306">
        <f t="shared" ca="1" si="156"/>
        <v>55.103369833128141</v>
      </c>
      <c r="H376" s="307">
        <f t="shared" ca="1" si="157"/>
        <v>265.62445730840017</v>
      </c>
      <c r="I376" s="304">
        <f t="shared" ca="1" si="158"/>
        <v>271.27980700256444</v>
      </c>
      <c r="J376" s="306">
        <f t="shared" ca="1" si="159"/>
        <v>173.63997183811225</v>
      </c>
      <c r="K376" s="307">
        <f t="shared" ca="1" si="160"/>
        <v>887.30863764501999</v>
      </c>
      <c r="L376" s="304">
        <f t="shared" ca="1" si="145"/>
        <v>904.13907019849648</v>
      </c>
      <c r="M376" s="306">
        <f t="shared" ca="1" si="161"/>
        <v>1.366249205547323</v>
      </c>
      <c r="N376" s="304">
        <f t="shared" ca="1" si="162"/>
        <v>78.280313240963309</v>
      </c>
      <c r="P376" s="310">
        <f t="shared" ca="1" si="163"/>
        <v>23</v>
      </c>
      <c r="Q376" s="304">
        <f t="shared" ca="1" si="164"/>
        <v>0</v>
      </c>
      <c r="R376" s="306">
        <f t="shared" ca="1" si="165"/>
        <v>0</v>
      </c>
      <c r="S376" s="307">
        <f t="shared" ca="1" si="166"/>
        <v>4.9929999999999914</v>
      </c>
      <c r="T376" s="304">
        <f t="shared" ca="1" si="146"/>
        <v>48.981329999999922</v>
      </c>
      <c r="U376" s="311">
        <f t="shared" ca="1" si="147"/>
        <v>0</v>
      </c>
      <c r="V376" s="306">
        <f t="shared" ca="1" si="148"/>
        <v>1.1209221506253668</v>
      </c>
      <c r="W376" s="304">
        <f t="shared" ca="1" si="149"/>
        <v>267.64109986539677</v>
      </c>
      <c r="Y376" s="314" t="str">
        <f t="shared" ca="1" si="167"/>
        <v/>
      </c>
      <c r="Z376" s="315" t="str">
        <f t="shared" ca="1" si="168"/>
        <v/>
      </c>
      <c r="AA376" s="316" t="str">
        <f t="shared" ca="1" si="169"/>
        <v/>
      </c>
      <c r="AC376" s="310" t="e">
        <f t="shared" ca="1" si="170"/>
        <v>#N/A</v>
      </c>
      <c r="AD376" s="323" t="e">
        <f t="shared" ca="1" si="171"/>
        <v>#N/A</v>
      </c>
      <c r="AE376" s="324">
        <f t="shared" ca="1" si="150"/>
        <v>887.30863764501999</v>
      </c>
      <c r="AG376" s="306">
        <f t="shared" ca="1" si="172"/>
        <v>-63.474390824833982</v>
      </c>
      <c r="AH376" s="304">
        <f t="shared" ca="1" si="173"/>
        <v>-53.868752866717564</v>
      </c>
    </row>
    <row r="377" spans="1:34" x14ac:dyDescent="0.2">
      <c r="A377" s="347">
        <f t="shared" ca="1" si="151"/>
        <v>0.01</v>
      </c>
      <c r="B377" s="304">
        <f t="shared" ca="1" si="152"/>
        <v>3.7299999999999645</v>
      </c>
      <c r="D377" s="306">
        <f t="shared" ca="1" si="153"/>
        <v>-10.888095737889813</v>
      </c>
      <c r="E377" s="307">
        <f t="shared" ca="1" si="154"/>
        <v>-62.295801326802525</v>
      </c>
      <c r="F377" s="304">
        <f t="shared" ca="1" si="155"/>
        <v>63.240157271672764</v>
      </c>
      <c r="G377" s="306">
        <f t="shared" ca="1" si="156"/>
        <v>54.994488875749241</v>
      </c>
      <c r="H377" s="307">
        <f t="shared" ca="1" si="157"/>
        <v>265.00149929513213</v>
      </c>
      <c r="I377" s="304">
        <f t="shared" ca="1" si="158"/>
        <v>270.64772017397974</v>
      </c>
      <c r="J377" s="306">
        <f t="shared" ca="1" si="159"/>
        <v>174.19046113165663</v>
      </c>
      <c r="K377" s="307">
        <f t="shared" ca="1" si="160"/>
        <v>889.96176742803766</v>
      </c>
      <c r="L377" s="304">
        <f t="shared" ca="1" si="145"/>
        <v>906.84853433905687</v>
      </c>
      <c r="M377" s="306">
        <f t="shared" ca="1" si="161"/>
        <v>1.3661755805442897</v>
      </c>
      <c r="N377" s="304">
        <f t="shared" ca="1" si="162"/>
        <v>78.276094839022861</v>
      </c>
      <c r="P377" s="310">
        <f t="shared" ca="1" si="163"/>
        <v>23</v>
      </c>
      <c r="Q377" s="304">
        <f t="shared" ca="1" si="164"/>
        <v>0</v>
      </c>
      <c r="R377" s="306">
        <f t="shared" ca="1" si="165"/>
        <v>0</v>
      </c>
      <c r="S377" s="307">
        <f t="shared" ca="1" si="166"/>
        <v>4.9929999999999914</v>
      </c>
      <c r="T377" s="304">
        <f t="shared" ca="1" si="146"/>
        <v>48.981329999999922</v>
      </c>
      <c r="U377" s="311">
        <f t="shared" ca="1" si="147"/>
        <v>0</v>
      </c>
      <c r="V377" s="306">
        <f t="shared" ca="1" si="148"/>
        <v>1.1206242067614305</v>
      </c>
      <c r="W377" s="304">
        <f t="shared" ca="1" si="149"/>
        <v>266.32452719825426</v>
      </c>
      <c r="Y377" s="314" t="str">
        <f t="shared" ca="1" si="167"/>
        <v/>
      </c>
      <c r="Z377" s="315" t="str">
        <f t="shared" ca="1" si="168"/>
        <v/>
      </c>
      <c r="AA377" s="316" t="str">
        <f t="shared" ca="1" si="169"/>
        <v/>
      </c>
      <c r="AC377" s="310" t="e">
        <f t="shared" ca="1" si="170"/>
        <v>#N/A</v>
      </c>
      <c r="AD377" s="323" t="e">
        <f t="shared" ca="1" si="171"/>
        <v>#N/A</v>
      </c>
      <c r="AE377" s="324">
        <f t="shared" ca="1" si="150"/>
        <v>889.96176742803766</v>
      </c>
      <c r="AG377" s="306">
        <f t="shared" ca="1" si="172"/>
        <v>-63.208756212677457</v>
      </c>
      <c r="AH377" s="304">
        <f t="shared" ca="1" si="173"/>
        <v>-53.603264543440261</v>
      </c>
    </row>
    <row r="378" spans="1:34" x14ac:dyDescent="0.2">
      <c r="A378" s="347">
        <f t="shared" ca="1" si="151"/>
        <v>0.01</v>
      </c>
      <c r="B378" s="304">
        <f t="shared" ca="1" si="152"/>
        <v>3.7399999999999642</v>
      </c>
      <c r="D378" s="306">
        <f t="shared" ca="1" si="153"/>
        <v>-10.838380548571585</v>
      </c>
      <c r="E378" s="307">
        <f t="shared" ca="1" si="154"/>
        <v>-62.03681679598639</v>
      </c>
      <c r="F378" s="304">
        <f t="shared" ca="1" si="155"/>
        <v>62.976480777306335</v>
      </c>
      <c r="G378" s="306">
        <f t="shared" ca="1" si="156"/>
        <v>54.886105070263525</v>
      </c>
      <c r="H378" s="307">
        <f t="shared" ca="1" si="157"/>
        <v>264.3811311271723</v>
      </c>
      <c r="I378" s="304">
        <f t="shared" ca="1" si="158"/>
        <v>270.01827165187746</v>
      </c>
      <c r="J378" s="306">
        <f t="shared" ca="1" si="159"/>
        <v>174.7398641013867</v>
      </c>
      <c r="K378" s="307">
        <f t="shared" ca="1" si="160"/>
        <v>892.60868058014921</v>
      </c>
      <c r="L378" s="304">
        <f t="shared" ca="1" si="145"/>
        <v>909.5516899842504</v>
      </c>
      <c r="M378" s="306">
        <f t="shared" ca="1" si="161"/>
        <v>1.3661017577207955</v>
      </c>
      <c r="N378" s="304">
        <f t="shared" ca="1" si="162"/>
        <v>78.271865102804909</v>
      </c>
      <c r="P378" s="310">
        <f t="shared" ca="1" si="163"/>
        <v>23</v>
      </c>
      <c r="Q378" s="304">
        <f t="shared" ca="1" si="164"/>
        <v>0</v>
      </c>
      <c r="R378" s="306">
        <f t="shared" ca="1" si="165"/>
        <v>0</v>
      </c>
      <c r="S378" s="307">
        <f t="shared" ca="1" si="166"/>
        <v>4.9929999999999914</v>
      </c>
      <c r="T378" s="304">
        <f t="shared" ca="1" si="146"/>
        <v>48.981329999999922</v>
      </c>
      <c r="U378" s="311">
        <f t="shared" ca="1" si="147"/>
        <v>0</v>
      </c>
      <c r="V378" s="306">
        <f t="shared" ca="1" si="148"/>
        <v>1.1203270364244127</v>
      </c>
      <c r="W378" s="304">
        <f t="shared" ca="1" si="149"/>
        <v>265.01688310771215</v>
      </c>
      <c r="Y378" s="314" t="str">
        <f t="shared" ca="1" si="167"/>
        <v/>
      </c>
      <c r="Z378" s="315" t="str">
        <f t="shared" ca="1" si="168"/>
        <v/>
      </c>
      <c r="AA378" s="316" t="str">
        <f t="shared" ca="1" si="169"/>
        <v/>
      </c>
      <c r="AC378" s="310" t="e">
        <f t="shared" ca="1" si="170"/>
        <v>#N/A</v>
      </c>
      <c r="AD378" s="323" t="e">
        <f t="shared" ca="1" si="171"/>
        <v>#N/A</v>
      </c>
      <c r="AE378" s="324">
        <f t="shared" ca="1" si="150"/>
        <v>892.60868058014921</v>
      </c>
      <c r="AG378" s="306">
        <f t="shared" ca="1" si="172"/>
        <v>-62.944925787633629</v>
      </c>
      <c r="AH378" s="304">
        <f t="shared" ca="1" si="173"/>
        <v>-53.339580852844925</v>
      </c>
    </row>
    <row r="379" spans="1:34" x14ac:dyDescent="0.2">
      <c r="A379" s="347">
        <f t="shared" ca="1" si="151"/>
        <v>0.01</v>
      </c>
      <c r="B379" s="304">
        <f t="shared" ca="1" si="152"/>
        <v>3.749999999999964</v>
      </c>
      <c r="D379" s="306">
        <f t="shared" ca="1" si="153"/>
        <v>-10.789001051262277</v>
      </c>
      <c r="E379" s="307">
        <f t="shared" ca="1" si="154"/>
        <v>-61.779588623812998</v>
      </c>
      <c r="F379" s="304">
        <f t="shared" ca="1" si="155"/>
        <v>62.714592514116703</v>
      </c>
      <c r="G379" s="306">
        <f t="shared" ca="1" si="156"/>
        <v>54.778215059750906</v>
      </c>
      <c r="H379" s="307">
        <f t="shared" ca="1" si="157"/>
        <v>263.76333524093417</v>
      </c>
      <c r="I379" s="304">
        <f t="shared" ca="1" si="158"/>
        <v>269.39144355853949</v>
      </c>
      <c r="J379" s="306">
        <f t="shared" ca="1" si="159"/>
        <v>175.28818570203677</v>
      </c>
      <c r="K379" s="307">
        <f t="shared" ca="1" si="160"/>
        <v>895.2494029119897</v>
      </c>
      <c r="L379" s="304">
        <f t="shared" ca="1" si="145"/>
        <v>912.24856341952432</v>
      </c>
      <c r="M379" s="306">
        <f t="shared" ca="1" si="161"/>
        <v>1.3660277368022851</v>
      </c>
      <c r="N379" s="304">
        <f t="shared" ca="1" si="162"/>
        <v>78.26762401657858</v>
      </c>
      <c r="P379" s="310">
        <f t="shared" ca="1" si="163"/>
        <v>23</v>
      </c>
      <c r="Q379" s="304">
        <f t="shared" ca="1" si="164"/>
        <v>0</v>
      </c>
      <c r="R379" s="306">
        <f t="shared" ca="1" si="165"/>
        <v>0</v>
      </c>
      <c r="S379" s="307">
        <f t="shared" ca="1" si="166"/>
        <v>4.9929999999999914</v>
      </c>
      <c r="T379" s="304">
        <f t="shared" ca="1" si="146"/>
        <v>48.981329999999922</v>
      </c>
      <c r="U379" s="311">
        <f t="shared" ca="1" si="147"/>
        <v>0</v>
      </c>
      <c r="V379" s="306">
        <f t="shared" ca="1" si="148"/>
        <v>1.1200306361584418</v>
      </c>
      <c r="W379" s="304">
        <f t="shared" ca="1" si="149"/>
        <v>263.7180865745654</v>
      </c>
      <c r="Y379" s="314" t="str">
        <f t="shared" ca="1" si="167"/>
        <v/>
      </c>
      <c r="Z379" s="315" t="str">
        <f t="shared" ca="1" si="168"/>
        <v/>
      </c>
      <c r="AA379" s="316" t="str">
        <f t="shared" ca="1" si="169"/>
        <v/>
      </c>
      <c r="AC379" s="310" t="e">
        <f t="shared" ca="1" si="170"/>
        <v>#N/A</v>
      </c>
      <c r="AD379" s="323" t="e">
        <f t="shared" ca="1" si="171"/>
        <v>#N/A</v>
      </c>
      <c r="AE379" s="324">
        <f t="shared" ca="1" si="150"/>
        <v>895.2494029119897</v>
      </c>
      <c r="AG379" s="306">
        <f t="shared" ca="1" si="172"/>
        <v>-62.682883134883397</v>
      </c>
      <c r="AH379" s="304">
        <f t="shared" ca="1" si="173"/>
        <v>-53.07768538107603</v>
      </c>
    </row>
    <row r="380" spans="1:34" x14ac:dyDescent="0.2">
      <c r="A380" s="347">
        <f t="shared" ca="1" si="151"/>
        <v>0.01</v>
      </c>
      <c r="B380" s="304">
        <f t="shared" ca="1" si="152"/>
        <v>3.7599999999999638</v>
      </c>
      <c r="D380" s="306">
        <f t="shared" ca="1" si="153"/>
        <v>-10.7399541966057</v>
      </c>
      <c r="E380" s="307">
        <f t="shared" ca="1" si="154"/>
        <v>-61.524100872794435</v>
      </c>
      <c r="F380" s="304">
        <f t="shared" ca="1" si="155"/>
        <v>62.454476255517292</v>
      </c>
      <c r="G380" s="306">
        <f t="shared" ca="1" si="156"/>
        <v>54.670815517784845</v>
      </c>
      <c r="H380" s="307">
        <f t="shared" ca="1" si="157"/>
        <v>263.14809423220623</v>
      </c>
      <c r="I380" s="304">
        <f t="shared" ca="1" si="158"/>
        <v>268.76721817852291</v>
      </c>
      <c r="J380" s="306">
        <f t="shared" ca="1" si="159"/>
        <v>175.83543085492445</v>
      </c>
      <c r="K380" s="307">
        <f t="shared" ca="1" si="160"/>
        <v>897.88396005935545</v>
      </c>
      <c r="L380" s="304">
        <f t="shared" ca="1" si="145"/>
        <v>914.939180752364</v>
      </c>
      <c r="M380" s="306">
        <f t="shared" ca="1" si="161"/>
        <v>1.3659535175130904</v>
      </c>
      <c r="N380" s="304">
        <f t="shared" ca="1" si="162"/>
        <v>78.26337156454926</v>
      </c>
      <c r="P380" s="310">
        <f t="shared" ca="1" si="163"/>
        <v>23</v>
      </c>
      <c r="Q380" s="304">
        <f t="shared" ca="1" si="164"/>
        <v>0</v>
      </c>
      <c r="R380" s="306">
        <f t="shared" ca="1" si="165"/>
        <v>0</v>
      </c>
      <c r="S380" s="307">
        <f t="shared" ca="1" si="166"/>
        <v>4.9929999999999914</v>
      </c>
      <c r="T380" s="304">
        <f t="shared" ca="1" si="146"/>
        <v>48.981329999999922</v>
      </c>
      <c r="U380" s="311">
        <f t="shared" ca="1" si="147"/>
        <v>0</v>
      </c>
      <c r="V380" s="306">
        <f t="shared" ca="1" si="148"/>
        <v>1.1197350025318462</v>
      </c>
      <c r="W380" s="304">
        <f t="shared" ca="1" si="149"/>
        <v>262.42805750196408</v>
      </c>
      <c r="Y380" s="314" t="str">
        <f t="shared" ca="1" si="167"/>
        <v/>
      </c>
      <c r="Z380" s="315" t="str">
        <f t="shared" ca="1" si="168"/>
        <v/>
      </c>
      <c r="AA380" s="316" t="str">
        <f t="shared" ca="1" si="169"/>
        <v/>
      </c>
      <c r="AC380" s="310" t="e">
        <f t="shared" ca="1" si="170"/>
        <v>#N/A</v>
      </c>
      <c r="AD380" s="323" t="e">
        <f t="shared" ca="1" si="171"/>
        <v>#N/A</v>
      </c>
      <c r="AE380" s="324">
        <f t="shared" ca="1" si="150"/>
        <v>897.88396005935545</v>
      </c>
      <c r="AG380" s="306">
        <f t="shared" ca="1" si="172"/>
        <v>-62.422612026900865</v>
      </c>
      <c r="AH380" s="304">
        <f t="shared" ca="1" si="173"/>
        <v>-52.817561901575374</v>
      </c>
    </row>
    <row r="381" spans="1:34" x14ac:dyDescent="0.2">
      <c r="A381" s="347">
        <f t="shared" ca="1" si="151"/>
        <v>0.01</v>
      </c>
      <c r="B381" s="304">
        <f t="shared" ca="1" si="152"/>
        <v>3.7699999999999636</v>
      </c>
      <c r="D381" s="306">
        <f t="shared" ca="1" si="153"/>
        <v>-10.691236969958519</v>
      </c>
      <c r="E381" s="307">
        <f t="shared" ca="1" si="154"/>
        <v>-61.270337786881505</v>
      </c>
      <c r="F381" s="304">
        <f t="shared" ca="1" si="155"/>
        <v>62.19611595965111</v>
      </c>
      <c r="G381" s="306">
        <f t="shared" ca="1" si="156"/>
        <v>54.563903148085259</v>
      </c>
      <c r="H381" s="307">
        <f t="shared" ca="1" si="157"/>
        <v>262.53539085433744</v>
      </c>
      <c r="I381" s="304">
        <f t="shared" ca="1" si="158"/>
        <v>268.14557795681316</v>
      </c>
      <c r="J381" s="306">
        <f t="shared" ca="1" si="159"/>
        <v>176.3816044482538</v>
      </c>
      <c r="K381" s="307">
        <f t="shared" ca="1" si="160"/>
        <v>900.5123774847882</v>
      </c>
      <c r="L381" s="304">
        <f t="shared" ca="1" si="145"/>
        <v>917.6235679139055</v>
      </c>
      <c r="M381" s="306">
        <f t="shared" ca="1" si="161"/>
        <v>1.3658790995764263</v>
      </c>
      <c r="N381" s="304">
        <f t="shared" ca="1" si="162"/>
        <v>78.259107730858332</v>
      </c>
      <c r="P381" s="310">
        <f t="shared" ca="1" si="163"/>
        <v>23</v>
      </c>
      <c r="Q381" s="304">
        <f t="shared" ca="1" si="164"/>
        <v>0</v>
      </c>
      <c r="R381" s="306">
        <f t="shared" ca="1" si="165"/>
        <v>0</v>
      </c>
      <c r="S381" s="307">
        <f t="shared" ca="1" si="166"/>
        <v>4.9929999999999914</v>
      </c>
      <c r="T381" s="304">
        <f t="shared" ca="1" si="146"/>
        <v>48.981329999999922</v>
      </c>
      <c r="U381" s="311">
        <f t="shared" ca="1" si="147"/>
        <v>0</v>
      </c>
      <c r="V381" s="306">
        <f t="shared" ca="1" si="148"/>
        <v>1.1194401321369309</v>
      </c>
      <c r="W381" s="304">
        <f t="shared" ca="1" si="149"/>
        <v>261.14671670279893</v>
      </c>
      <c r="Y381" s="314" t="str">
        <f t="shared" ca="1" si="167"/>
        <v/>
      </c>
      <c r="Z381" s="315" t="str">
        <f t="shared" ca="1" si="168"/>
        <v/>
      </c>
      <c r="AA381" s="316" t="str">
        <f t="shared" ca="1" si="169"/>
        <v/>
      </c>
      <c r="AC381" s="310" t="e">
        <f t="shared" ca="1" si="170"/>
        <v>#N/A</v>
      </c>
      <c r="AD381" s="323" t="e">
        <f t="shared" ca="1" si="171"/>
        <v>#N/A</v>
      </c>
      <c r="AE381" s="324">
        <f t="shared" ca="1" si="150"/>
        <v>900.5123774847882</v>
      </c>
      <c r="AG381" s="306">
        <f t="shared" ca="1" si="172"/>
        <v>-62.164096420885699</v>
      </c>
      <c r="AH381" s="304">
        <f t="shared" ca="1" si="173"/>
        <v>-52.559194372514426</v>
      </c>
    </row>
    <row r="382" spans="1:34" x14ac:dyDescent="0.2">
      <c r="A382" s="347">
        <f t="shared" ca="1" si="151"/>
        <v>0.01</v>
      </c>
      <c r="B382" s="304">
        <f t="shared" ca="1" si="152"/>
        <v>3.7799999999999634</v>
      </c>
      <c r="D382" s="306">
        <f t="shared" ca="1" si="153"/>
        <v>-10.642846390915567</v>
      </c>
      <c r="E382" s="307">
        <f t="shared" ca="1" si="154"/>
        <v>-61.018283788982274</v>
      </c>
      <c r="F382" s="304">
        <f t="shared" ca="1" si="155"/>
        <v>61.939495766864312</v>
      </c>
      <c r="G382" s="306">
        <f t="shared" ca="1" si="156"/>
        <v>54.457474684176105</v>
      </c>
      <c r="H382" s="307">
        <f t="shared" ca="1" si="157"/>
        <v>261.92520801644764</v>
      </c>
      <c r="I382" s="304">
        <f t="shared" ca="1" si="158"/>
        <v>267.52650549700127</v>
      </c>
      <c r="J382" s="306">
        <f t="shared" ca="1" si="159"/>
        <v>176.9267113374151</v>
      </c>
      <c r="K382" s="307">
        <f t="shared" ca="1" si="160"/>
        <v>903.13468047914216</v>
      </c>
      <c r="L382" s="304">
        <f t="shared" ca="1" si="145"/>
        <v>920.30175066052936</v>
      </c>
      <c r="M382" s="306">
        <f t="shared" ca="1" si="161"/>
        <v>1.3658044827143891</v>
      </c>
      <c r="N382" s="304">
        <f t="shared" ca="1" si="162"/>
        <v>78.254832499583102</v>
      </c>
      <c r="P382" s="310">
        <f t="shared" ca="1" si="163"/>
        <v>23</v>
      </c>
      <c r="Q382" s="304">
        <f t="shared" ca="1" si="164"/>
        <v>0</v>
      </c>
      <c r="R382" s="306">
        <f t="shared" ca="1" si="165"/>
        <v>0</v>
      </c>
      <c r="S382" s="307">
        <f t="shared" ca="1" si="166"/>
        <v>4.9929999999999914</v>
      </c>
      <c r="T382" s="304">
        <f t="shared" ca="1" si="146"/>
        <v>48.981329999999922</v>
      </c>
      <c r="U382" s="311">
        <f t="shared" ca="1" si="147"/>
        <v>0</v>
      </c>
      <c r="V382" s="306">
        <f t="shared" ca="1" si="148"/>
        <v>1.1191460215897542</v>
      </c>
      <c r="W382" s="304">
        <f t="shared" ca="1" si="149"/>
        <v>259.87398588728576</v>
      </c>
      <c r="Y382" s="314" t="str">
        <f t="shared" ca="1" si="167"/>
        <v/>
      </c>
      <c r="Z382" s="315" t="str">
        <f t="shared" ca="1" si="168"/>
        <v/>
      </c>
      <c r="AA382" s="316" t="str">
        <f t="shared" ca="1" si="169"/>
        <v/>
      </c>
      <c r="AC382" s="310" t="e">
        <f t="shared" ca="1" si="170"/>
        <v>#N/A</v>
      </c>
      <c r="AD382" s="323" t="e">
        <f t="shared" ca="1" si="171"/>
        <v>#N/A</v>
      </c>
      <c r="AE382" s="324">
        <f t="shared" ca="1" si="150"/>
        <v>903.13468047914216</v>
      </c>
      <c r="AG382" s="306">
        <f t="shared" ca="1" si="172"/>
        <v>-61.907320456236612</v>
      </c>
      <c r="AH382" s="304">
        <f t="shared" ca="1" si="173"/>
        <v>-52.302566934267851</v>
      </c>
    </row>
    <row r="383" spans="1:34" x14ac:dyDescent="0.2">
      <c r="A383" s="347">
        <f t="shared" ca="1" si="151"/>
        <v>0.01</v>
      </c>
      <c r="B383" s="304">
        <f t="shared" ca="1" si="152"/>
        <v>3.7899999999999632</v>
      </c>
      <c r="D383" s="306">
        <f t="shared" ca="1" si="153"/>
        <v>-10.594779512842521</v>
      </c>
      <c r="E383" s="307">
        <f t="shared" ca="1" si="154"/>
        <v>-60.767923478519783</v>
      </c>
      <c r="F383" s="304">
        <f t="shared" ca="1" si="155"/>
        <v>61.684599997219593</v>
      </c>
      <c r="G383" s="306">
        <f t="shared" ca="1" si="156"/>
        <v>54.351526889047683</v>
      </c>
      <c r="H383" s="307">
        <f t="shared" ca="1" si="157"/>
        <v>261.31752878166242</v>
      </c>
      <c r="I383" s="304">
        <f t="shared" ca="1" si="158"/>
        <v>266.90998355948744</v>
      </c>
      <c r="J383" s="306">
        <f t="shared" ca="1" si="159"/>
        <v>177.47075634528122</v>
      </c>
      <c r="K383" s="307">
        <f t="shared" ca="1" si="160"/>
        <v>905.75089416313267</v>
      </c>
      <c r="L383" s="304">
        <f t="shared" ca="1" si="145"/>
        <v>922.97375457543785</v>
      </c>
      <c r="M383" s="306">
        <f t="shared" ca="1" si="161"/>
        <v>1.3657296666479541</v>
      </c>
      <c r="N383" s="304">
        <f t="shared" ca="1" si="162"/>
        <v>78.2505458547366</v>
      </c>
      <c r="P383" s="310">
        <f t="shared" ca="1" si="163"/>
        <v>23</v>
      </c>
      <c r="Q383" s="304">
        <f t="shared" ca="1" si="164"/>
        <v>0</v>
      </c>
      <c r="R383" s="306">
        <f t="shared" ca="1" si="165"/>
        <v>0</v>
      </c>
      <c r="S383" s="307">
        <f t="shared" ca="1" si="166"/>
        <v>4.9929999999999914</v>
      </c>
      <c r="T383" s="304">
        <f t="shared" ca="1" si="146"/>
        <v>48.981329999999922</v>
      </c>
      <c r="U383" s="311">
        <f t="shared" ca="1" si="147"/>
        <v>0</v>
      </c>
      <c r="V383" s="306">
        <f t="shared" ca="1" si="148"/>
        <v>1.1188526675299073</v>
      </c>
      <c r="W383" s="304">
        <f t="shared" ca="1" si="149"/>
        <v>258.60978765075015</v>
      </c>
      <c r="Y383" s="314" t="str">
        <f t="shared" ca="1" si="167"/>
        <v/>
      </c>
      <c r="Z383" s="315" t="str">
        <f t="shared" ca="1" si="168"/>
        <v/>
      </c>
      <c r="AA383" s="316" t="str">
        <f t="shared" ca="1" si="169"/>
        <v/>
      </c>
      <c r="AC383" s="310" t="e">
        <f t="shared" ca="1" si="170"/>
        <v>#N/A</v>
      </c>
      <c r="AD383" s="323" t="e">
        <f t="shared" ca="1" si="171"/>
        <v>#N/A</v>
      </c>
      <c r="AE383" s="324">
        <f t="shared" ca="1" si="150"/>
        <v>905.75089416313267</v>
      </c>
      <c r="AG383" s="306">
        <f t="shared" ca="1" si="172"/>
        <v>-61.65226845206481</v>
      </c>
      <c r="AH383" s="304">
        <f t="shared" ca="1" si="173"/>
        <v>-52.047663906926935</v>
      </c>
    </row>
    <row r="384" spans="1:34" x14ac:dyDescent="0.2">
      <c r="A384" s="347">
        <f t="shared" ca="1" si="151"/>
        <v>0.01</v>
      </c>
      <c r="B384" s="304">
        <f t="shared" ca="1" si="152"/>
        <v>3.799999999999963</v>
      </c>
      <c r="D384" s="306">
        <f t="shared" ca="1" si="153"/>
        <v>-10.547033422416183</v>
      </c>
      <c r="E384" s="307">
        <f t="shared" ca="1" si="154"/>
        <v>-60.519241629029167</v>
      </c>
      <c r="F384" s="304">
        <f t="shared" ca="1" si="155"/>
        <v>61.431413148049764</v>
      </c>
      <c r="G384" s="306">
        <f t="shared" ca="1" si="156"/>
        <v>54.246056554823518</v>
      </c>
      <c r="H384" s="307">
        <f t="shared" ca="1" si="157"/>
        <v>260.71233636537215</v>
      </c>
      <c r="I384" s="304">
        <f t="shared" ca="1" si="158"/>
        <v>266.29599505970805</v>
      </c>
      <c r="J384" s="306">
        <f t="shared" ca="1" si="159"/>
        <v>178.01374426250058</v>
      </c>
      <c r="K384" s="307">
        <f t="shared" ca="1" si="160"/>
        <v>908.36104348886784</v>
      </c>
      <c r="L384" s="304">
        <f t="shared" ca="1" si="145"/>
        <v>925.63960507021295</v>
      </c>
      <c r="M384" s="306">
        <f t="shared" ca="1" si="161"/>
        <v>1.3656546510969725</v>
      </c>
      <c r="N384" s="304">
        <f t="shared" ca="1" si="162"/>
        <v>78.24624778026751</v>
      </c>
      <c r="P384" s="310">
        <f t="shared" ca="1" si="163"/>
        <v>23</v>
      </c>
      <c r="Q384" s="304">
        <f t="shared" ca="1" si="164"/>
        <v>0</v>
      </c>
      <c r="R384" s="306">
        <f t="shared" ca="1" si="165"/>
        <v>0</v>
      </c>
      <c r="S384" s="307">
        <f t="shared" ca="1" si="166"/>
        <v>4.9929999999999914</v>
      </c>
      <c r="T384" s="304">
        <f t="shared" ca="1" si="146"/>
        <v>48.981329999999922</v>
      </c>
      <c r="U384" s="311">
        <f t="shared" ca="1" si="147"/>
        <v>0</v>
      </c>
      <c r="V384" s="306">
        <f t="shared" ca="1" si="148"/>
        <v>1.1185600666202973</v>
      </c>
      <c r="W384" s="304">
        <f t="shared" ca="1" si="149"/>
        <v>257.35404546160453</v>
      </c>
      <c r="Y384" s="314" t="str">
        <f t="shared" ca="1" si="167"/>
        <v/>
      </c>
      <c r="Z384" s="315" t="str">
        <f t="shared" ca="1" si="168"/>
        <v/>
      </c>
      <c r="AA384" s="316" t="str">
        <f t="shared" ca="1" si="169"/>
        <v/>
      </c>
      <c r="AC384" s="310" t="e">
        <f t="shared" ca="1" si="170"/>
        <v>#N/A</v>
      </c>
      <c r="AD384" s="323" t="e">
        <f t="shared" ca="1" si="171"/>
        <v>#N/A</v>
      </c>
      <c r="AE384" s="324">
        <f t="shared" ca="1" si="150"/>
        <v>908.36104348886784</v>
      </c>
      <c r="AG384" s="306">
        <f t="shared" ca="1" si="172"/>
        <v>-61.398924904747474</v>
      </c>
      <c r="AH384" s="304">
        <f t="shared" ca="1" si="173"/>
        <v>-51.79446978785311</v>
      </c>
    </row>
    <row r="385" spans="1:34" x14ac:dyDescent="0.2">
      <c r="A385" s="347">
        <f t="shared" ca="1" si="151"/>
        <v>0.01</v>
      </c>
      <c r="B385" s="304">
        <f t="shared" ca="1" si="152"/>
        <v>3.8099999999999627</v>
      </c>
      <c r="D385" s="306">
        <f t="shared" ca="1" si="153"/>
        <v>-10.499605239171984</v>
      </c>
      <c r="E385" s="307">
        <f t="shared" ca="1" si="154"/>
        <v>-60.272223185792583</v>
      </c>
      <c r="F385" s="304">
        <f t="shared" ca="1" si="155"/>
        <v>61.179919891549716</v>
      </c>
      <c r="G385" s="306">
        <f t="shared" ca="1" si="156"/>
        <v>54.141060502431799</v>
      </c>
      <c r="H385" s="307">
        <f t="shared" ca="1" si="157"/>
        <v>260.10961413351424</v>
      </c>
      <c r="I385" s="304">
        <f t="shared" ca="1" si="158"/>
        <v>265.68452306638727</v>
      </c>
      <c r="J385" s="306">
        <f t="shared" ca="1" si="159"/>
        <v>178.55567984778685</v>
      </c>
      <c r="K385" s="307">
        <f t="shared" ca="1" si="160"/>
        <v>910.96515324136226</v>
      </c>
      <c r="L385" s="304">
        <f t="shared" ca="1" si="145"/>
        <v>928.29932738635762</v>
      </c>
      <c r="M385" s="306">
        <f t="shared" ca="1" si="161"/>
        <v>1.365579435780168</v>
      </c>
      <c r="N385" s="304">
        <f t="shared" ca="1" si="162"/>
        <v>78.241938260059868</v>
      </c>
      <c r="P385" s="310">
        <f t="shared" ca="1" si="163"/>
        <v>23</v>
      </c>
      <c r="Q385" s="304">
        <f t="shared" ca="1" si="164"/>
        <v>0</v>
      </c>
      <c r="R385" s="306">
        <f t="shared" ca="1" si="165"/>
        <v>0</v>
      </c>
      <c r="S385" s="307">
        <f t="shared" ca="1" si="166"/>
        <v>4.9929999999999914</v>
      </c>
      <c r="T385" s="304">
        <f t="shared" ca="1" si="146"/>
        <v>48.981329999999922</v>
      </c>
      <c r="U385" s="311">
        <f t="shared" ca="1" si="147"/>
        <v>0</v>
      </c>
      <c r="V385" s="306">
        <f t="shared" ca="1" si="148"/>
        <v>1.1182682155469339</v>
      </c>
      <c r="W385" s="304">
        <f t="shared" ca="1" si="149"/>
        <v>256.10668364951744</v>
      </c>
      <c r="Y385" s="314" t="str">
        <f t="shared" ca="1" si="167"/>
        <v/>
      </c>
      <c r="Z385" s="315" t="str">
        <f t="shared" ca="1" si="168"/>
        <v/>
      </c>
      <c r="AA385" s="316" t="str">
        <f t="shared" ca="1" si="169"/>
        <v/>
      </c>
      <c r="AC385" s="310" t="e">
        <f t="shared" ca="1" si="170"/>
        <v>#N/A</v>
      </c>
      <c r="AD385" s="323" t="e">
        <f t="shared" ca="1" si="171"/>
        <v>#N/A</v>
      </c>
      <c r="AE385" s="324">
        <f t="shared" ca="1" si="150"/>
        <v>910.96515324136226</v>
      </c>
      <c r="AG385" s="306">
        <f t="shared" ca="1" si="172"/>
        <v>-61.147274485519759</v>
      </c>
      <c r="AH385" s="304">
        <f t="shared" ca="1" si="173"/>
        <v>-51.542969249269973</v>
      </c>
    </row>
    <row r="386" spans="1:34" x14ac:dyDescent="0.2">
      <c r="A386" s="347">
        <f t="shared" ca="1" si="151"/>
        <v>0.01</v>
      </c>
      <c r="B386" s="304">
        <f t="shared" ca="1" si="152"/>
        <v>3.8199999999999625</v>
      </c>
      <c r="D386" s="306">
        <f t="shared" ca="1" si="153"/>
        <v>-10.452492115058771</v>
      </c>
      <c r="E386" s="307">
        <f t="shared" ca="1" si="154"/>
        <v>-60.026853263511917</v>
      </c>
      <c r="F386" s="304">
        <f t="shared" ca="1" si="155"/>
        <v>60.930105072406995</v>
      </c>
      <c r="G386" s="306">
        <f t="shared" ca="1" si="156"/>
        <v>54.036535581281214</v>
      </c>
      <c r="H386" s="307">
        <f t="shared" ca="1" si="157"/>
        <v>259.5093456008791</v>
      </c>
      <c r="I386" s="304">
        <f t="shared" ca="1" si="158"/>
        <v>265.07555079981177</v>
      </c>
      <c r="J386" s="306">
        <f t="shared" ca="1" si="159"/>
        <v>179.09656782820542</v>
      </c>
      <c r="K386" s="307">
        <f t="shared" ca="1" si="160"/>
        <v>913.56324804003418</v>
      </c>
      <c r="L386" s="304">
        <f t="shared" ca="1" si="145"/>
        <v>930.95294659681917</v>
      </c>
      <c r="M386" s="306">
        <f t="shared" ca="1" si="161"/>
        <v>1.3655040204151359</v>
      </c>
      <c r="N386" s="304">
        <f t="shared" ca="1" si="162"/>
        <v>78.237617277933083</v>
      </c>
      <c r="P386" s="310">
        <f t="shared" ca="1" si="163"/>
        <v>23</v>
      </c>
      <c r="Q386" s="304">
        <f t="shared" ca="1" si="164"/>
        <v>0</v>
      </c>
      <c r="R386" s="306">
        <f t="shared" ca="1" si="165"/>
        <v>0</v>
      </c>
      <c r="S386" s="307">
        <f t="shared" ca="1" si="166"/>
        <v>4.9929999999999914</v>
      </c>
      <c r="T386" s="304">
        <f t="shared" ca="1" si="146"/>
        <v>48.981329999999922</v>
      </c>
      <c r="U386" s="311">
        <f t="shared" ca="1" si="147"/>
        <v>0</v>
      </c>
      <c r="V386" s="306">
        <f t="shared" ca="1" si="148"/>
        <v>1.1179771110187144</v>
      </c>
      <c r="W386" s="304">
        <f t="shared" ca="1" si="149"/>
        <v>254.86762739376718</v>
      </c>
      <c r="Y386" s="314" t="str">
        <f t="shared" ca="1" si="167"/>
        <v/>
      </c>
      <c r="Z386" s="315" t="str">
        <f t="shared" ca="1" si="168"/>
        <v/>
      </c>
      <c r="AA386" s="316" t="str">
        <f t="shared" ca="1" si="169"/>
        <v/>
      </c>
      <c r="AC386" s="310" t="e">
        <f t="shared" ca="1" si="170"/>
        <v>#N/A</v>
      </c>
      <c r="AD386" s="323" t="e">
        <f t="shared" ca="1" si="171"/>
        <v>#N/A</v>
      </c>
      <c r="AE386" s="324">
        <f t="shared" ca="1" si="150"/>
        <v>913.56324804003418</v>
      </c>
      <c r="AG386" s="306">
        <f t="shared" ca="1" si="172"/>
        <v>-60.897302038105352</v>
      </c>
      <c r="AH386" s="304">
        <f t="shared" ca="1" si="173"/>
        <v>-51.293147135893825</v>
      </c>
    </row>
    <row r="387" spans="1:34" x14ac:dyDescent="0.2">
      <c r="A387" s="347">
        <f t="shared" ca="1" si="151"/>
        <v>0.01</v>
      </c>
      <c r="B387" s="304">
        <f t="shared" ca="1" si="152"/>
        <v>3.8299999999999623</v>
      </c>
      <c r="D387" s="306">
        <f t="shared" ca="1" si="153"/>
        <v>-10.405691234000427</v>
      </c>
      <c r="E387" s="307">
        <f t="shared" ca="1" si="154"/>
        <v>-59.783117144017872</v>
      </c>
      <c r="F387" s="304">
        <f t="shared" ca="1" si="155"/>
        <v>60.681953705469283</v>
      </c>
      <c r="G387" s="306">
        <f t="shared" ca="1" si="156"/>
        <v>53.932478668941208</v>
      </c>
      <c r="H387" s="307">
        <f t="shared" ca="1" si="157"/>
        <v>258.91151442943891</v>
      </c>
      <c r="I387" s="304">
        <f t="shared" ca="1" si="158"/>
        <v>264.46906163012972</v>
      </c>
      <c r="J387" s="306">
        <f t="shared" ca="1" si="159"/>
        <v>179.63641289945653</v>
      </c>
      <c r="K387" s="307">
        <f t="shared" ca="1" si="160"/>
        <v>916.1553523401858</v>
      </c>
      <c r="L387" s="304">
        <f t="shared" ca="1" si="145"/>
        <v>933.60048760749589</v>
      </c>
      <c r="M387" s="306">
        <f t="shared" ca="1" si="161"/>
        <v>1.3654284047183387</v>
      </c>
      <c r="N387" s="304">
        <f t="shared" ca="1" si="162"/>
        <v>78.233284817641675</v>
      </c>
      <c r="P387" s="310">
        <f t="shared" ca="1" si="163"/>
        <v>23</v>
      </c>
      <c r="Q387" s="304">
        <f t="shared" ca="1" si="164"/>
        <v>0</v>
      </c>
      <c r="R387" s="306">
        <f t="shared" ca="1" si="165"/>
        <v>0</v>
      </c>
      <c r="S387" s="307">
        <f t="shared" ca="1" si="166"/>
        <v>4.9929999999999914</v>
      </c>
      <c r="T387" s="304">
        <f t="shared" ca="1" si="146"/>
        <v>48.981329999999922</v>
      </c>
      <c r="U387" s="311">
        <f t="shared" ca="1" si="147"/>
        <v>0</v>
      </c>
      <c r="V387" s="306">
        <f t="shared" ca="1" si="148"/>
        <v>1.1176867497672167</v>
      </c>
      <c r="W387" s="304">
        <f t="shared" ca="1" si="149"/>
        <v>253.63680271178276</v>
      </c>
      <c r="Y387" s="314" t="str">
        <f t="shared" ca="1" si="167"/>
        <v/>
      </c>
      <c r="Z387" s="315" t="str">
        <f t="shared" ca="1" si="168"/>
        <v/>
      </c>
      <c r="AA387" s="316" t="str">
        <f t="shared" ca="1" si="169"/>
        <v/>
      </c>
      <c r="AC387" s="310" t="e">
        <f t="shared" ca="1" si="170"/>
        <v>#N/A</v>
      </c>
      <c r="AD387" s="323" t="e">
        <f t="shared" ca="1" si="171"/>
        <v>#N/A</v>
      </c>
      <c r="AE387" s="324">
        <f t="shared" ca="1" si="150"/>
        <v>916.1553523401858</v>
      </c>
      <c r="AG387" s="306">
        <f t="shared" ca="1" si="172"/>
        <v>-60.648992576383932</v>
      </c>
      <c r="AH387" s="304">
        <f t="shared" ca="1" si="173"/>
        <v>-51.044988462601168</v>
      </c>
    </row>
    <row r="388" spans="1:34" x14ac:dyDescent="0.2">
      <c r="A388" s="347">
        <f t="shared" ca="1" si="151"/>
        <v>0.01</v>
      </c>
      <c r="B388" s="304">
        <f t="shared" ca="1" si="152"/>
        <v>3.8399999999999621</v>
      </c>
      <c r="D388" s="306">
        <f t="shared" ca="1" si="153"/>
        <v>-10.359199811464636</v>
      </c>
      <c r="E388" s="307">
        <f t="shared" ca="1" si="154"/>
        <v>-59.541000274015779</v>
      </c>
      <c r="F388" s="304">
        <f t="shared" ca="1" si="155"/>
        <v>60.435450973449321</v>
      </c>
      <c r="G388" s="306">
        <f t="shared" ca="1" si="156"/>
        <v>53.828886670826563</v>
      </c>
      <c r="H388" s="307">
        <f t="shared" ca="1" si="157"/>
        <v>258.31610442669876</v>
      </c>
      <c r="I388" s="304">
        <f t="shared" ca="1" si="158"/>
        <v>263.86503907567186</v>
      </c>
      <c r="J388" s="306">
        <f t="shared" ca="1" si="159"/>
        <v>180.17521972615538</v>
      </c>
      <c r="K388" s="307">
        <f t="shared" ca="1" si="160"/>
        <v>918.74149043446653</v>
      </c>
      <c r="L388" s="304">
        <f t="shared" ref="L388:L451" ca="1" si="174">SQRT(pos_x^2+pos_z^2)</f>
        <v>936.2419751587264</v>
      </c>
      <c r="M388" s="306">
        <f t="shared" ca="1" si="161"/>
        <v>1.3653525884051052</v>
      </c>
      <c r="N388" s="304">
        <f t="shared" ca="1" si="162"/>
        <v>78.228940862875149</v>
      </c>
      <c r="P388" s="310">
        <f t="shared" ca="1" si="163"/>
        <v>23</v>
      </c>
      <c r="Q388" s="304">
        <f t="shared" ca="1" si="164"/>
        <v>0</v>
      </c>
      <c r="R388" s="306">
        <f t="shared" ca="1" si="165"/>
        <v>0</v>
      </c>
      <c r="S388" s="307">
        <f t="shared" ca="1" si="166"/>
        <v>4.9929999999999914</v>
      </c>
      <c r="T388" s="304">
        <f t="shared" ref="T388:T451" ca="1" si="175">m*g</f>
        <v>48.981329999999922</v>
      </c>
      <c r="U388" s="311">
        <f t="shared" ref="U388:U451" ca="1" si="176">IF(pos_xz&lt;L_rampe,Poids*COS(Beta),0)</f>
        <v>0</v>
      </c>
      <c r="V388" s="306">
        <f t="shared" ref="V388:V451" ca="1" si="177">Rho_moyen*(20000-Alt_rampe-pos_z)/(20000+Alt_rampe+pos_z)</f>
        <v>1.1173971285464892</v>
      </c>
      <c r="W388" s="304">
        <f t="shared" ref="W388:W451" ca="1" si="178">1/2*Rho*Sref*Cx*vit_xz^2</f>
        <v>252.41413644786212</v>
      </c>
      <c r="Y388" s="314" t="str">
        <f t="shared" ca="1" si="167"/>
        <v/>
      </c>
      <c r="Z388" s="315" t="str">
        <f t="shared" ca="1" si="168"/>
        <v/>
      </c>
      <c r="AA388" s="316" t="str">
        <f t="shared" ca="1" si="169"/>
        <v/>
      </c>
      <c r="AC388" s="310" t="e">
        <f t="shared" ca="1" si="170"/>
        <v>#N/A</v>
      </c>
      <c r="AD388" s="323" t="e">
        <f t="shared" ca="1" si="171"/>
        <v>#N/A</v>
      </c>
      <c r="AE388" s="324">
        <f t="shared" ref="AE388:AE451" ca="1" si="179">IF(t&lt;T_para, pos_z, NA())</f>
        <v>918.74149043446653</v>
      </c>
      <c r="AG388" s="306">
        <f t="shared" ca="1" si="172"/>
        <v>-60.402331282096071</v>
      </c>
      <c r="AH388" s="304">
        <f t="shared" ca="1" si="173"/>
        <v>-50.798478412133626</v>
      </c>
    </row>
    <row r="389" spans="1:34" x14ac:dyDescent="0.2">
      <c r="A389" s="347">
        <f t="shared" ref="A389:A452" ca="1" si="180">IF(B388+0.01&lt;=T_ini+ROUNDUP(Temps_fin_propu,0), 0.01, IF(K388&gt;0, 0.1, 0.0001))</f>
        <v>0.01</v>
      </c>
      <c r="B389" s="304">
        <f t="shared" ref="B389:B452" ca="1" si="181">B388+pas</f>
        <v>3.8499999999999619</v>
      </c>
      <c r="D389" s="306">
        <f t="shared" ref="D389:D452" ca="1" si="182">IF(AND(L388&lt;L_rampe,Poussee&lt;Poids*SIN(M388)),0,(-W388+Poussee)/m*COS(M388)-U388/m*SIN(M388))</f>
        <v>-10.313015094038249</v>
      </c>
      <c r="E389" s="307">
        <f t="shared" ref="E389:E452" ca="1" si="183">IF(AND(L388&lt;L_rampe,Poussee&lt;Poids*SIN(M388)),0,(-W388+Poussee)/m*SIN(M388)+U388/m*COS(M388)-Poids/m)</f>
        <v>-59.300488262866352</v>
      </c>
      <c r="F389" s="304">
        <f t="shared" ref="F389:F452" ca="1" si="184">SQRT(acc_x^2+acc_z^2)</f>
        <v>60.190582224665441</v>
      </c>
      <c r="G389" s="306">
        <f t="shared" ref="G389:G452" ca="1" si="185">G388+acc_x*pas</f>
        <v>53.725756519886183</v>
      </c>
      <c r="H389" s="307">
        <f t="shared" ref="H389:H452" ca="1" si="186">H388+acc_z*pas</f>
        <v>257.72309954407007</v>
      </c>
      <c r="I389" s="304">
        <f t="shared" ref="I389:I452" ca="1" si="187">SQRT(vit_x^2+vit_z^2)</f>
        <v>263.26346680129535</v>
      </c>
      <c r="J389" s="306">
        <f t="shared" ref="J389:J452" ca="1" si="188">J388+0.5*(vit_x+G388)*pas*(K388&gt;=0)</f>
        <v>180.71299294210894</v>
      </c>
      <c r="K389" s="307">
        <f t="shared" ref="K389:K452" ca="1" si="189">K388+0.5*(vit_z+H388)*pas</f>
        <v>921.32168645432034</v>
      </c>
      <c r="L389" s="304">
        <f t="shared" ca="1" si="174"/>
        <v>938.87743382676297</v>
      </c>
      <c r="M389" s="306">
        <f t="shared" ref="M389:M452" ca="1" si="190">IF(AND(L388&gt;L_rampe,G389&gt;0),ATAN2(G389,H389),$M$4)</f>
        <v>1.3652765711896255</v>
      </c>
      <c r="N389" s="304">
        <f t="shared" ref="N389:N452" ca="1" si="191">DEGREES(Beta)</f>
        <v>78.224585397257826</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4.9929999999999914</v>
      </c>
      <c r="T389" s="304">
        <f t="shared" ca="1" si="175"/>
        <v>48.981329999999922</v>
      </c>
      <c r="U389" s="311">
        <f t="shared" ca="1" si="176"/>
        <v>0</v>
      </c>
      <c r="V389" s="306">
        <f t="shared" ca="1" si="177"/>
        <v>1.1171082441328477</v>
      </c>
      <c r="W389" s="304">
        <f t="shared" ca="1" si="178"/>
        <v>251.19955626206934</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f t="shared" ca="1" si="179"/>
        <v>921.32168645432034</v>
      </c>
      <c r="AG389" s="306">
        <f t="shared" ref="AG389:AG452" ca="1" si="201">IF(AND(L388&lt;L_rampe,Poussee&lt;Poids*SIN(M388)),0,(-W388+Poussee)/m-Poids*SIN(M388)/m)</f>
        <v>-60.157303502583773</v>
      </c>
      <c r="AH389" s="304">
        <f t="shared" ref="AH389:AH452" ca="1" si="202">IF(AND(L388&lt;L_rampe,Poussee&lt;Poids*SIN(M388)), g*SIN(M388), (-W388+Poussee)/m)</f>
        <v>-50.553602332838487</v>
      </c>
    </row>
    <row r="390" spans="1:34" x14ac:dyDescent="0.2">
      <c r="A390" s="347">
        <f t="shared" ca="1" si="180"/>
        <v>0.01</v>
      </c>
      <c r="B390" s="304">
        <f t="shared" ca="1" si="181"/>
        <v>3.8599999999999617</v>
      </c>
      <c r="D390" s="306">
        <f t="shared" ca="1" si="182"/>
        <v>-10.267134359009505</v>
      </c>
      <c r="E390" s="307">
        <f t="shared" ca="1" si="183"/>
        <v>-59.061566880401628</v>
      </c>
      <c r="F390" s="304">
        <f t="shared" ca="1" si="184"/>
        <v>59.947332970817875</v>
      </c>
      <c r="G390" s="306">
        <f t="shared" ca="1" si="185"/>
        <v>53.623085176296087</v>
      </c>
      <c r="H390" s="307">
        <f t="shared" ca="1" si="186"/>
        <v>257.13248387526608</v>
      </c>
      <c r="I390" s="304">
        <f t="shared" ca="1" si="187"/>
        <v>262.66432861675048</v>
      </c>
      <c r="J390" s="306">
        <f t="shared" ca="1" si="188"/>
        <v>181.24973715058985</v>
      </c>
      <c r="K390" s="307">
        <f t="shared" ca="1" si="189"/>
        <v>923.89596437141699</v>
      </c>
      <c r="L390" s="304">
        <f t="shared" ca="1" si="174"/>
        <v>941.50688802522768</v>
      </c>
      <c r="M390" s="306">
        <f t="shared" ca="1" si="190"/>
        <v>1.3652003527849506</v>
      </c>
      <c r="N390" s="304">
        <f t="shared" ca="1" si="191"/>
        <v>78.220218404348728</v>
      </c>
      <c r="P390" s="310">
        <f t="shared" ca="1" si="192"/>
        <v>23</v>
      </c>
      <c r="Q390" s="304">
        <f t="shared" ca="1" si="193"/>
        <v>0</v>
      </c>
      <c r="R390" s="306">
        <f t="shared" ca="1" si="194"/>
        <v>0</v>
      </c>
      <c r="S390" s="307">
        <f t="shared" ca="1" si="195"/>
        <v>4.9929999999999914</v>
      </c>
      <c r="T390" s="304">
        <f t="shared" ca="1" si="175"/>
        <v>48.981329999999922</v>
      </c>
      <c r="U390" s="311">
        <f t="shared" ca="1" si="176"/>
        <v>0</v>
      </c>
      <c r="V390" s="306">
        <f t="shared" ca="1" si="177"/>
        <v>1.1168200933246719</v>
      </c>
      <c r="W390" s="304">
        <f t="shared" ca="1" si="178"/>
        <v>249.99299061930574</v>
      </c>
      <c r="Y390" s="314" t="str">
        <f t="shared" ca="1" si="196"/>
        <v/>
      </c>
      <c r="Z390" s="315" t="str">
        <f t="shared" ca="1" si="197"/>
        <v/>
      </c>
      <c r="AA390" s="316" t="str">
        <f t="shared" ca="1" si="198"/>
        <v/>
      </c>
      <c r="AC390" s="310" t="e">
        <f t="shared" ca="1" si="199"/>
        <v>#N/A</v>
      </c>
      <c r="AD390" s="323" t="e">
        <f t="shared" ca="1" si="200"/>
        <v>#N/A</v>
      </c>
      <c r="AE390" s="324">
        <f t="shared" ca="1" si="179"/>
        <v>923.89596437141699</v>
      </c>
      <c r="AG390" s="306">
        <f t="shared" ca="1" si="201"/>
        <v>-59.913894748566733</v>
      </c>
      <c r="AH390" s="304">
        <f t="shared" ca="1" si="202"/>
        <v>-50.31034573644498</v>
      </c>
    </row>
    <row r="391" spans="1:34" x14ac:dyDescent="0.2">
      <c r="A391" s="347">
        <f t="shared" ca="1" si="180"/>
        <v>0.01</v>
      </c>
      <c r="B391" s="304">
        <f t="shared" ca="1" si="181"/>
        <v>3.8699999999999615</v>
      </c>
      <c r="D391" s="306">
        <f t="shared" ca="1" si="182"/>
        <v>-10.221554913956608</v>
      </c>
      <c r="E391" s="307">
        <f t="shared" ca="1" si="183"/>
        <v>-58.824222054775099</v>
      </c>
      <c r="F391" s="304">
        <f t="shared" ca="1" si="184"/>
        <v>59.705688884799912</v>
      </c>
      <c r="G391" s="306">
        <f t="shared" ca="1" si="185"/>
        <v>53.520869627156522</v>
      </c>
      <c r="H391" s="307">
        <f t="shared" ca="1" si="186"/>
        <v>256.54424165471835</v>
      </c>
      <c r="I391" s="304">
        <f t="shared" ca="1" si="187"/>
        <v>262.06760847506814</v>
      </c>
      <c r="J391" s="306">
        <f t="shared" ca="1" si="188"/>
        <v>181.7854569246071</v>
      </c>
      <c r="K391" s="307">
        <f t="shared" ca="1" si="189"/>
        <v>926.46434799906694</v>
      </c>
      <c r="L391" s="304">
        <f t="shared" ca="1" si="174"/>
        <v>944.13036200655279</v>
      </c>
      <c r="M391" s="306">
        <f t="shared" ca="1" si="190"/>
        <v>1.3651239329029874</v>
      </c>
      <c r="N391" s="304">
        <f t="shared" ca="1" si="191"/>
        <v>78.21583986764135</v>
      </c>
      <c r="P391" s="310">
        <f t="shared" ca="1" si="192"/>
        <v>23</v>
      </c>
      <c r="Q391" s="304">
        <f t="shared" ca="1" si="193"/>
        <v>0</v>
      </c>
      <c r="R391" s="306">
        <f t="shared" ca="1" si="194"/>
        <v>0</v>
      </c>
      <c r="S391" s="307">
        <f t="shared" ca="1" si="195"/>
        <v>4.9929999999999914</v>
      </c>
      <c r="T391" s="304">
        <f t="shared" ca="1" si="175"/>
        <v>48.981329999999922</v>
      </c>
      <c r="U391" s="311">
        <f t="shared" ca="1" si="176"/>
        <v>0</v>
      </c>
      <c r="V391" s="306">
        <f t="shared" ca="1" si="177"/>
        <v>1.1165326729422047</v>
      </c>
      <c r="W391" s="304">
        <f t="shared" ca="1" si="178"/>
        <v>248.79436877855025</v>
      </c>
      <c r="Y391" s="314" t="str">
        <f t="shared" ca="1" si="196"/>
        <v/>
      </c>
      <c r="Z391" s="315" t="str">
        <f t="shared" ca="1" si="197"/>
        <v/>
      </c>
      <c r="AA391" s="316" t="str">
        <f t="shared" ca="1" si="198"/>
        <v/>
      </c>
      <c r="AC391" s="310" t="e">
        <f t="shared" ca="1" si="199"/>
        <v>#N/A</v>
      </c>
      <c r="AD391" s="323" t="e">
        <f t="shared" ca="1" si="200"/>
        <v>#N/A</v>
      </c>
      <c r="AE391" s="324">
        <f t="shared" ca="1" si="179"/>
        <v>926.46434799906694</v>
      </c>
      <c r="AG391" s="306">
        <f t="shared" ca="1" si="201"/>
        <v>-59.6720906919535</v>
      </c>
      <c r="AH391" s="304">
        <f t="shared" ca="1" si="202"/>
        <v>-50.06869429587546</v>
      </c>
    </row>
    <row r="392" spans="1:34" x14ac:dyDescent="0.2">
      <c r="A392" s="347">
        <f t="shared" ca="1" si="180"/>
        <v>0.01</v>
      </c>
      <c r="B392" s="304">
        <f t="shared" ca="1" si="181"/>
        <v>3.8799999999999613</v>
      </c>
      <c r="D392" s="306">
        <f t="shared" ca="1" si="182"/>
        <v>-10.176274096342878</v>
      </c>
      <c r="E392" s="307">
        <f t="shared" ca="1" si="183"/>
        <v>-58.588439870345191</v>
      </c>
      <c r="F392" s="304">
        <f t="shared" ca="1" si="184"/>
        <v>59.465635798542955</v>
      </c>
      <c r="G392" s="306">
        <f t="shared" ca="1" si="185"/>
        <v>53.419106886193092</v>
      </c>
      <c r="H392" s="307">
        <f t="shared" ca="1" si="186"/>
        <v>255.95835725601489</v>
      </c>
      <c r="I392" s="304">
        <f t="shared" ca="1" si="187"/>
        <v>261.47329047097003</v>
      </c>
      <c r="J392" s="306">
        <f t="shared" ca="1" si="188"/>
        <v>182.32015680717384</v>
      </c>
      <c r="K392" s="307">
        <f t="shared" ca="1" si="189"/>
        <v>929.02686099362063</v>
      </c>
      <c r="L392" s="304">
        <f t="shared" ca="1" si="174"/>
        <v>946.74787986340516</v>
      </c>
      <c r="M392" s="306">
        <f t="shared" ca="1" si="190"/>
        <v>1.3650473112544979</v>
      </c>
      <c r="N392" s="304">
        <f t="shared" ca="1" si="191"/>
        <v>78.211449770563561</v>
      </c>
      <c r="P392" s="310">
        <f t="shared" ca="1" si="192"/>
        <v>23</v>
      </c>
      <c r="Q392" s="304">
        <f t="shared" ca="1" si="193"/>
        <v>0</v>
      </c>
      <c r="R392" s="306">
        <f t="shared" ca="1" si="194"/>
        <v>0</v>
      </c>
      <c r="S392" s="307">
        <f t="shared" ca="1" si="195"/>
        <v>4.9929999999999914</v>
      </c>
      <c r="T392" s="304">
        <f t="shared" ca="1" si="175"/>
        <v>48.981329999999922</v>
      </c>
      <c r="U392" s="311">
        <f t="shared" ca="1" si="176"/>
        <v>0</v>
      </c>
      <c r="V392" s="306">
        <f t="shared" ca="1" si="177"/>
        <v>1.116245979827353</v>
      </c>
      <c r="W392" s="304">
        <f t="shared" ca="1" si="178"/>
        <v>247.60362078226967</v>
      </c>
      <c r="Y392" s="314" t="str">
        <f t="shared" ca="1" si="196"/>
        <v/>
      </c>
      <c r="Z392" s="315" t="str">
        <f t="shared" ca="1" si="197"/>
        <v/>
      </c>
      <c r="AA392" s="316" t="str">
        <f t="shared" ca="1" si="198"/>
        <v/>
      </c>
      <c r="AC392" s="310" t="e">
        <f t="shared" ca="1" si="199"/>
        <v>#N/A</v>
      </c>
      <c r="AD392" s="323" t="e">
        <f t="shared" ca="1" si="200"/>
        <v>#N/A</v>
      </c>
      <c r="AE392" s="324">
        <f t="shared" ca="1" si="179"/>
        <v>929.02686099362063</v>
      </c>
      <c r="AG392" s="306">
        <f t="shared" ca="1" si="201"/>
        <v>-59.431877163686551</v>
      </c>
      <c r="AH392" s="304">
        <f t="shared" ca="1" si="202"/>
        <v>-49.828633843090465</v>
      </c>
    </row>
    <row r="393" spans="1:34" x14ac:dyDescent="0.2">
      <c r="A393" s="347">
        <f t="shared" ca="1" si="180"/>
        <v>0.01</v>
      </c>
      <c r="B393" s="304">
        <f t="shared" ca="1" si="181"/>
        <v>3.889999999999961</v>
      </c>
      <c r="D393" s="306">
        <f t="shared" ca="1" si="182"/>
        <v>-10.13128927311813</v>
      </c>
      <c r="E393" s="307">
        <f t="shared" ca="1" si="183"/>
        <v>-58.354206565592108</v>
      </c>
      <c r="F393" s="304">
        <f t="shared" ca="1" si="184"/>
        <v>59.227159700895598</v>
      </c>
      <c r="G393" s="306">
        <f t="shared" ca="1" si="185"/>
        <v>53.317793993461912</v>
      </c>
      <c r="H393" s="307">
        <f t="shared" ca="1" si="186"/>
        <v>255.37481519035896</v>
      </c>
      <c r="I393" s="304">
        <f t="shared" ca="1" si="187"/>
        <v>260.88135883929931</v>
      </c>
      <c r="J393" s="306">
        <f t="shared" ca="1" si="188"/>
        <v>182.85384131157213</v>
      </c>
      <c r="K393" s="307">
        <f t="shared" ca="1" si="189"/>
        <v>931.58352685585248</v>
      </c>
      <c r="L393" s="304">
        <f t="shared" ca="1" si="174"/>
        <v>949.35946553009433</v>
      </c>
      <c r="M393" s="306">
        <f t="shared" ca="1" si="190"/>
        <v>1.3649704875490953</v>
      </c>
      <c r="N393" s="304">
        <f t="shared" ca="1" si="191"/>
        <v>78.20704809647745</v>
      </c>
      <c r="P393" s="310">
        <f t="shared" ca="1" si="192"/>
        <v>23</v>
      </c>
      <c r="Q393" s="304">
        <f t="shared" ca="1" si="193"/>
        <v>0</v>
      </c>
      <c r="R393" s="306">
        <f t="shared" ca="1" si="194"/>
        <v>0</v>
      </c>
      <c r="S393" s="307">
        <f t="shared" ca="1" si="195"/>
        <v>4.9929999999999914</v>
      </c>
      <c r="T393" s="304">
        <f t="shared" ca="1" si="175"/>
        <v>48.981329999999922</v>
      </c>
      <c r="U393" s="311">
        <f t="shared" ca="1" si="176"/>
        <v>0</v>
      </c>
      <c r="V393" s="306">
        <f t="shared" ca="1" si="177"/>
        <v>1.1159600108434953</v>
      </c>
      <c r="W393" s="304">
        <f t="shared" ca="1" si="178"/>
        <v>246.4206774459935</v>
      </c>
      <c r="Y393" s="314" t="str">
        <f t="shared" ca="1" si="196"/>
        <v/>
      </c>
      <c r="Z393" s="315" t="str">
        <f t="shared" ca="1" si="197"/>
        <v/>
      </c>
      <c r="AA393" s="316" t="str">
        <f t="shared" ca="1" si="198"/>
        <v/>
      </c>
      <c r="AC393" s="310" t="e">
        <f t="shared" ca="1" si="199"/>
        <v>#N/A</v>
      </c>
      <c r="AD393" s="323" t="e">
        <f t="shared" ca="1" si="200"/>
        <v>#N/A</v>
      </c>
      <c r="AE393" s="324">
        <f t="shared" ca="1" si="179"/>
        <v>931.58352685585248</v>
      </c>
      <c r="AG393" s="306">
        <f t="shared" ca="1" si="201"/>
        <v>-59.193240151621268</v>
      </c>
      <c r="AH393" s="304">
        <f t="shared" ca="1" si="202"/>
        <v>-49.590150366967777</v>
      </c>
    </row>
    <row r="394" spans="1:34" x14ac:dyDescent="0.2">
      <c r="A394" s="347">
        <f t="shared" ca="1" si="180"/>
        <v>0.01</v>
      </c>
      <c r="B394" s="304">
        <f t="shared" ca="1" si="181"/>
        <v>3.8999999999999608</v>
      </c>
      <c r="D394" s="306">
        <f t="shared" ca="1" si="182"/>
        <v>-10.086597840326336</v>
      </c>
      <c r="E394" s="307">
        <f t="shared" ca="1" si="183"/>
        <v>-58.121508531067072</v>
      </c>
      <c r="F394" s="304">
        <f t="shared" ca="1" si="184"/>
        <v>58.990246735535685</v>
      </c>
      <c r="G394" s="306">
        <f t="shared" ca="1" si="185"/>
        <v>53.216928015058649</v>
      </c>
      <c r="H394" s="307">
        <f t="shared" ca="1" si="186"/>
        <v>254.79360010504828</v>
      </c>
      <c r="I394" s="304">
        <f t="shared" ca="1" si="187"/>
        <v>260.29179795347221</v>
      </c>
      <c r="J394" s="306">
        <f t="shared" ca="1" si="188"/>
        <v>183.38651492161472</v>
      </c>
      <c r="K394" s="307">
        <f t="shared" ca="1" si="189"/>
        <v>934.13436893232949</v>
      </c>
      <c r="L394" s="304">
        <f t="shared" ca="1" si="174"/>
        <v>951.96514278396614</v>
      </c>
      <c r="M394" s="306">
        <f t="shared" ca="1" si="190"/>
        <v>1.3648934614952417</v>
      </c>
      <c r="N394" s="304">
        <f t="shared" ca="1" si="191"/>
        <v>78.202634828679081</v>
      </c>
      <c r="P394" s="310">
        <f t="shared" ca="1" si="192"/>
        <v>23</v>
      </c>
      <c r="Q394" s="304">
        <f t="shared" ca="1" si="193"/>
        <v>0</v>
      </c>
      <c r="R394" s="306">
        <f t="shared" ca="1" si="194"/>
        <v>0</v>
      </c>
      <c r="S394" s="307">
        <f t="shared" ca="1" si="195"/>
        <v>4.9929999999999914</v>
      </c>
      <c r="T394" s="304">
        <f t="shared" ca="1" si="175"/>
        <v>48.981329999999922</v>
      </c>
      <c r="U394" s="311">
        <f t="shared" ca="1" si="176"/>
        <v>0</v>
      </c>
      <c r="V394" s="306">
        <f t="shared" ca="1" si="177"/>
        <v>1.1156747628752834</v>
      </c>
      <c r="W394" s="304">
        <f t="shared" ca="1" si="178"/>
        <v>245.24547034804834</v>
      </c>
      <c r="Y394" s="314" t="str">
        <f t="shared" ca="1" si="196"/>
        <v/>
      </c>
      <c r="Z394" s="315" t="str">
        <f t="shared" ca="1" si="197"/>
        <v/>
      </c>
      <c r="AA394" s="316" t="str">
        <f t="shared" ca="1" si="198"/>
        <v/>
      </c>
      <c r="AC394" s="310" t="e">
        <f t="shared" ca="1" si="199"/>
        <v>#N/A</v>
      </c>
      <c r="AD394" s="323" t="e">
        <f t="shared" ca="1" si="200"/>
        <v>#N/A</v>
      </c>
      <c r="AE394" s="324">
        <f t="shared" ca="1" si="179"/>
        <v>934.13436893232949</v>
      </c>
      <c r="AG394" s="306">
        <f t="shared" ca="1" si="201"/>
        <v>-58.956165798438057</v>
      </c>
      <c r="AH394" s="304">
        <f t="shared" ca="1" si="202"/>
        <v>-49.353230011214485</v>
      </c>
    </row>
    <row r="395" spans="1:34" x14ac:dyDescent="0.2">
      <c r="A395" s="347">
        <f t="shared" ca="1" si="180"/>
        <v>0.01</v>
      </c>
      <c r="B395" s="304">
        <f t="shared" ca="1" si="181"/>
        <v>3.9099999999999606</v>
      </c>
      <c r="D395" s="306">
        <f t="shared" ca="1" si="182"/>
        <v>-10.042197222719286</v>
      </c>
      <c r="E395" s="307">
        <f t="shared" ca="1" si="183"/>
        <v>-57.890332307372958</v>
      </c>
      <c r="F395" s="304">
        <f t="shared" ca="1" si="184"/>
        <v>58.754883198914285</v>
      </c>
      <c r="G395" s="306">
        <f t="shared" ca="1" si="185"/>
        <v>53.116506042831453</v>
      </c>
      <c r="H395" s="307">
        <f t="shared" ca="1" si="186"/>
        <v>254.21469678197457</v>
      </c>
      <c r="I395" s="304">
        <f t="shared" ca="1" si="187"/>
        <v>259.70459232395069</v>
      </c>
      <c r="J395" s="306">
        <f t="shared" ca="1" si="188"/>
        <v>183.91818209190416</v>
      </c>
      <c r="K395" s="307">
        <f t="shared" ca="1" si="189"/>
        <v>936.67941041676465</v>
      </c>
      <c r="L395" s="304">
        <f t="shared" ca="1" si="174"/>
        <v>954.56493524677967</v>
      </c>
      <c r="M395" s="306">
        <f t="shared" ca="1" si="190"/>
        <v>1.3648162328002444</v>
      </c>
      <c r="N395" s="304">
        <f t="shared" ca="1" si="191"/>
        <v>78.198209950398436</v>
      </c>
      <c r="P395" s="310">
        <f t="shared" ca="1" si="192"/>
        <v>23</v>
      </c>
      <c r="Q395" s="304">
        <f t="shared" ca="1" si="193"/>
        <v>0</v>
      </c>
      <c r="R395" s="306">
        <f t="shared" ca="1" si="194"/>
        <v>0</v>
      </c>
      <c r="S395" s="307">
        <f t="shared" ca="1" si="195"/>
        <v>4.9929999999999914</v>
      </c>
      <c r="T395" s="304">
        <f t="shared" ca="1" si="175"/>
        <v>48.981329999999922</v>
      </c>
      <c r="U395" s="311">
        <f t="shared" ca="1" si="176"/>
        <v>0</v>
      </c>
      <c r="V395" s="306">
        <f t="shared" ca="1" si="177"/>
        <v>1.1153902328284546</v>
      </c>
      <c r="W395" s="304">
        <f t="shared" ca="1" si="178"/>
        <v>244.07793181945496</v>
      </c>
      <c r="Y395" s="314" t="str">
        <f t="shared" ca="1" si="196"/>
        <v/>
      </c>
      <c r="Z395" s="315" t="str">
        <f t="shared" ca="1" si="197"/>
        <v/>
      </c>
      <c r="AA395" s="316" t="str">
        <f t="shared" ca="1" si="198"/>
        <v/>
      </c>
      <c r="AC395" s="310" t="e">
        <f t="shared" ca="1" si="199"/>
        <v>#N/A</v>
      </c>
      <c r="AD395" s="323" t="e">
        <f t="shared" ca="1" si="200"/>
        <v>#N/A</v>
      </c>
      <c r="AE395" s="324">
        <f t="shared" ca="1" si="179"/>
        <v>936.67941041676465</v>
      </c>
      <c r="AG395" s="306">
        <f t="shared" ca="1" si="201"/>
        <v>-58.720640399586308</v>
      </c>
      <c r="AH395" s="304">
        <f t="shared" ca="1" si="202"/>
        <v>-49.117859072310985</v>
      </c>
    </row>
    <row r="396" spans="1:34" x14ac:dyDescent="0.2">
      <c r="A396" s="347">
        <f t="shared" ca="1" si="180"/>
        <v>0.01</v>
      </c>
      <c r="B396" s="304">
        <f t="shared" ca="1" si="181"/>
        <v>3.9199999999999604</v>
      </c>
      <c r="D396" s="306">
        <f t="shared" ca="1" si="182"/>
        <v>-9.9980848733763583</v>
      </c>
      <c r="E396" s="307">
        <f t="shared" ca="1" si="183"/>
        <v>-57.660664583176924</v>
      </c>
      <c r="F396" s="304">
        <f t="shared" ca="1" si="184"/>
        <v>58.521055538232311</v>
      </c>
      <c r="G396" s="306">
        <f t="shared" ca="1" si="185"/>
        <v>53.016525194097689</v>
      </c>
      <c r="H396" s="307">
        <f t="shared" ca="1" si="186"/>
        <v>253.63809013614281</v>
      </c>
      <c r="I396" s="304">
        <f t="shared" ca="1" si="187"/>
        <v>259.11972659673461</v>
      </c>
      <c r="J396" s="306">
        <f t="shared" ca="1" si="188"/>
        <v>184.44884724808881</v>
      </c>
      <c r="K396" s="307">
        <f t="shared" ca="1" si="189"/>
        <v>939.21867435135528</v>
      </c>
      <c r="L396" s="304">
        <f t="shared" ca="1" si="174"/>
        <v>957.15886638606969</v>
      </c>
      <c r="M396" s="306">
        <f t="shared" ca="1" si="190"/>
        <v>1.3647388011702544</v>
      </c>
      <c r="N396" s="304">
        <f t="shared" ca="1" si="191"/>
        <v>78.193773444799191</v>
      </c>
      <c r="P396" s="310">
        <f t="shared" ca="1" si="192"/>
        <v>23</v>
      </c>
      <c r="Q396" s="304">
        <f t="shared" ca="1" si="193"/>
        <v>0</v>
      </c>
      <c r="R396" s="306">
        <f t="shared" ca="1" si="194"/>
        <v>0</v>
      </c>
      <c r="S396" s="307">
        <f t="shared" ca="1" si="195"/>
        <v>4.9929999999999914</v>
      </c>
      <c r="T396" s="304">
        <f t="shared" ca="1" si="175"/>
        <v>48.981329999999922</v>
      </c>
      <c r="U396" s="311">
        <f t="shared" ca="1" si="176"/>
        <v>0</v>
      </c>
      <c r="V396" s="306">
        <f t="shared" ca="1" si="177"/>
        <v>1.1151064176296395</v>
      </c>
      <c r="W396" s="304">
        <f t="shared" ca="1" si="178"/>
        <v>242.91799493397812</v>
      </c>
      <c r="Y396" s="314" t="str">
        <f t="shared" ca="1" si="196"/>
        <v/>
      </c>
      <c r="Z396" s="315" t="str">
        <f t="shared" ca="1" si="197"/>
        <v/>
      </c>
      <c r="AA396" s="316" t="str">
        <f t="shared" ca="1" si="198"/>
        <v/>
      </c>
      <c r="AC396" s="310" t="e">
        <f t="shared" ca="1" si="199"/>
        <v>#N/A</v>
      </c>
      <c r="AD396" s="323" t="e">
        <f t="shared" ca="1" si="200"/>
        <v>#N/A</v>
      </c>
      <c r="AE396" s="324">
        <f t="shared" ca="1" si="179"/>
        <v>939.21867435135528</v>
      </c>
      <c r="AG396" s="306">
        <f t="shared" ca="1" si="201"/>
        <v>-58.486650401260945</v>
      </c>
      <c r="AH396" s="304">
        <f t="shared" ca="1" si="202"/>
        <v>-48.88402399748756</v>
      </c>
    </row>
    <row r="397" spans="1:34" x14ac:dyDescent="0.2">
      <c r="A397" s="347">
        <f t="shared" ca="1" si="180"/>
        <v>0.01</v>
      </c>
      <c r="B397" s="304">
        <f t="shared" ca="1" si="181"/>
        <v>3.9299999999999602</v>
      </c>
      <c r="D397" s="306">
        <f t="shared" ca="1" si="182"/>
        <v>-9.9542582733300087</v>
      </c>
      <c r="E397" s="307">
        <f t="shared" ca="1" si="183"/>
        <v>-57.432492193253083</v>
      </c>
      <c r="F397" s="304">
        <f t="shared" ca="1" si="184"/>
        <v>58.288750349447668</v>
      </c>
      <c r="G397" s="306">
        <f t="shared" ca="1" si="185"/>
        <v>52.916982611364389</v>
      </c>
      <c r="H397" s="307">
        <f t="shared" ca="1" si="186"/>
        <v>253.06376521421026</v>
      </c>
      <c r="I397" s="304">
        <f t="shared" ca="1" si="187"/>
        <v>258.53718555187447</v>
      </c>
      <c r="J397" s="306">
        <f t="shared" ca="1" si="188"/>
        <v>184.97851478711613</v>
      </c>
      <c r="K397" s="307">
        <f t="shared" ca="1" si="189"/>
        <v>941.75218362810699</v>
      </c>
      <c r="L397" s="304">
        <f t="shared" ca="1" si="174"/>
        <v>959.74695951649414</v>
      </c>
      <c r="M397" s="306">
        <f t="shared" ca="1" si="190"/>
        <v>1.3646611663102624</v>
      </c>
      <c r="N397" s="304">
        <f t="shared" ca="1" si="191"/>
        <v>78.189325294978559</v>
      </c>
      <c r="P397" s="310">
        <f t="shared" ca="1" si="192"/>
        <v>23</v>
      </c>
      <c r="Q397" s="304">
        <f t="shared" ca="1" si="193"/>
        <v>0</v>
      </c>
      <c r="R397" s="306">
        <f t="shared" ca="1" si="194"/>
        <v>0</v>
      </c>
      <c r="S397" s="307">
        <f t="shared" ca="1" si="195"/>
        <v>4.9929999999999914</v>
      </c>
      <c r="T397" s="304">
        <f t="shared" ca="1" si="175"/>
        <v>48.981329999999922</v>
      </c>
      <c r="U397" s="311">
        <f t="shared" ca="1" si="176"/>
        <v>0</v>
      </c>
      <c r="V397" s="306">
        <f t="shared" ca="1" si="177"/>
        <v>1.114823314226177</v>
      </c>
      <c r="W397" s="304">
        <f t="shared" ca="1" si="178"/>
        <v>241.76559349833252</v>
      </c>
      <c r="Y397" s="314" t="str">
        <f t="shared" ca="1" si="196"/>
        <v/>
      </c>
      <c r="Z397" s="315" t="str">
        <f t="shared" ca="1" si="197"/>
        <v/>
      </c>
      <c r="AA397" s="316" t="str">
        <f t="shared" ca="1" si="198"/>
        <v/>
      </c>
      <c r="AC397" s="310" t="e">
        <f t="shared" ca="1" si="199"/>
        <v>#N/A</v>
      </c>
      <c r="AD397" s="323" t="e">
        <f t="shared" ca="1" si="200"/>
        <v>#N/A</v>
      </c>
      <c r="AE397" s="324">
        <f t="shared" ca="1" si="179"/>
        <v>941.75218362810699</v>
      </c>
      <c r="AG397" s="306">
        <f t="shared" ca="1" si="201"/>
        <v>-58.254182398409569</v>
      </c>
      <c r="AH397" s="304">
        <f t="shared" ca="1" si="202"/>
        <v>-48.651711382731534</v>
      </c>
    </row>
    <row r="398" spans="1:34" x14ac:dyDescent="0.2">
      <c r="A398" s="347">
        <f t="shared" ca="1" si="180"/>
        <v>0.01</v>
      </c>
      <c r="B398" s="304">
        <f t="shared" ca="1" si="181"/>
        <v>3.93999999999996</v>
      </c>
      <c r="D398" s="306">
        <f t="shared" ca="1" si="182"/>
        <v>-9.9107149311971874</v>
      </c>
      <c r="E398" s="307">
        <f t="shared" ca="1" si="183"/>
        <v>-57.205802116555866</v>
      </c>
      <c r="F398" s="304">
        <f t="shared" ca="1" si="184"/>
        <v>58.057954375313656</v>
      </c>
      <c r="G398" s="306">
        <f t="shared" ca="1" si="185"/>
        <v>52.81787546205242</v>
      </c>
      <c r="H398" s="307">
        <f t="shared" ca="1" si="186"/>
        <v>252.4917071930447</v>
      </c>
      <c r="I398" s="304">
        <f t="shared" ca="1" si="187"/>
        <v>257.95695410200346</v>
      </c>
      <c r="J398" s="306">
        <f t="shared" ca="1" si="188"/>
        <v>185.50718907748322</v>
      </c>
      <c r="K398" s="307">
        <f t="shared" ca="1" si="189"/>
        <v>944.27996099014331</v>
      </c>
      <c r="L398" s="304">
        <f t="shared" ca="1" si="174"/>
        <v>962.32923780116732</v>
      </c>
      <c r="M398" s="306">
        <f t="shared" ca="1" si="190"/>
        <v>1.3645833279240962</v>
      </c>
      <c r="N398" s="304">
        <f t="shared" ca="1" si="191"/>
        <v>78.18486548396713</v>
      </c>
      <c r="P398" s="310">
        <f t="shared" ca="1" si="192"/>
        <v>23</v>
      </c>
      <c r="Q398" s="304">
        <f t="shared" ca="1" si="193"/>
        <v>0</v>
      </c>
      <c r="R398" s="306">
        <f t="shared" ca="1" si="194"/>
        <v>0</v>
      </c>
      <c r="S398" s="307">
        <f t="shared" ca="1" si="195"/>
        <v>4.9929999999999914</v>
      </c>
      <c r="T398" s="304">
        <f t="shared" ca="1" si="175"/>
        <v>48.981329999999922</v>
      </c>
      <c r="U398" s="311">
        <f t="shared" ca="1" si="176"/>
        <v>0</v>
      </c>
      <c r="V398" s="306">
        <f t="shared" ca="1" si="177"/>
        <v>1.1145409195859277</v>
      </c>
      <c r="W398" s="304">
        <f t="shared" ca="1" si="178"/>
        <v>240.62066204253819</v>
      </c>
      <c r="Y398" s="314" t="str">
        <f t="shared" ca="1" si="196"/>
        <v/>
      </c>
      <c r="Z398" s="315" t="str">
        <f t="shared" ca="1" si="197"/>
        <v/>
      </c>
      <c r="AA398" s="316" t="str">
        <f t="shared" ca="1" si="198"/>
        <v/>
      </c>
      <c r="AC398" s="310" t="e">
        <f t="shared" ca="1" si="199"/>
        <v>#N/A</v>
      </c>
      <c r="AD398" s="323" t="e">
        <f t="shared" ca="1" si="200"/>
        <v>#N/A</v>
      </c>
      <c r="AE398" s="324">
        <f t="shared" ca="1" si="179"/>
        <v>944.27996099014331</v>
      </c>
      <c r="AG398" s="306">
        <f t="shared" ca="1" si="201"/>
        <v>-58.023223132770944</v>
      </c>
      <c r="AH398" s="304">
        <f t="shared" ca="1" si="202"/>
        <v>-48.420907970825745</v>
      </c>
    </row>
    <row r="399" spans="1:34" x14ac:dyDescent="0.2">
      <c r="A399" s="347">
        <f t="shared" ca="1" si="180"/>
        <v>0.01</v>
      </c>
      <c r="B399" s="304">
        <f t="shared" ca="1" si="181"/>
        <v>3.9499999999999598</v>
      </c>
      <c r="D399" s="306">
        <f t="shared" ca="1" si="182"/>
        <v>-9.8674523828163689</v>
      </c>
      <c r="E399" s="307">
        <f t="shared" ca="1" si="183"/>
        <v>-56.980581474322868</v>
      </c>
      <c r="F399" s="304">
        <f t="shared" ca="1" si="184"/>
        <v>57.828654503447467</v>
      </c>
      <c r="G399" s="306">
        <f t="shared" ca="1" si="185"/>
        <v>52.719200938224255</v>
      </c>
      <c r="H399" s="307">
        <f t="shared" ca="1" si="186"/>
        <v>251.92190137830147</v>
      </c>
      <c r="I399" s="304">
        <f t="shared" ca="1" si="187"/>
        <v>257.37901729088856</v>
      </c>
      <c r="J399" s="306">
        <f t="shared" ca="1" si="188"/>
        <v>186.0348744594846</v>
      </c>
      <c r="K399" s="307">
        <f t="shared" ca="1" si="189"/>
        <v>946.80202903300005</v>
      </c>
      <c r="L399" s="304">
        <f t="shared" ca="1" si="174"/>
        <v>964.90572425297705</v>
      </c>
      <c r="M399" s="306">
        <f t="shared" ca="1" si="190"/>
        <v>1.3645052857144184</v>
      </c>
      <c r="N399" s="304">
        <f t="shared" ca="1" si="191"/>
        <v>78.180393994728718</v>
      </c>
      <c r="P399" s="310">
        <f t="shared" ca="1" si="192"/>
        <v>23</v>
      </c>
      <c r="Q399" s="304">
        <f t="shared" ca="1" si="193"/>
        <v>0</v>
      </c>
      <c r="R399" s="306">
        <f t="shared" ca="1" si="194"/>
        <v>0</v>
      </c>
      <c r="S399" s="307">
        <f t="shared" ca="1" si="195"/>
        <v>4.9929999999999914</v>
      </c>
      <c r="T399" s="304">
        <f t="shared" ca="1" si="175"/>
        <v>48.981329999999922</v>
      </c>
      <c r="U399" s="311">
        <f t="shared" ca="1" si="176"/>
        <v>0</v>
      </c>
      <c r="V399" s="306">
        <f t="shared" ca="1" si="177"/>
        <v>1.1142592306970913</v>
      </c>
      <c r="W399" s="304">
        <f t="shared" ca="1" si="178"/>
        <v>239.48313581042328</v>
      </c>
      <c r="Y399" s="314" t="str">
        <f t="shared" ca="1" si="196"/>
        <v/>
      </c>
      <c r="Z399" s="315" t="str">
        <f t="shared" ca="1" si="197"/>
        <v/>
      </c>
      <c r="AA399" s="316" t="str">
        <f t="shared" ca="1" si="198"/>
        <v/>
      </c>
      <c r="AC399" s="310" t="e">
        <f t="shared" ca="1" si="199"/>
        <v>#N/A</v>
      </c>
      <c r="AD399" s="323" t="e">
        <f t="shared" ca="1" si="200"/>
        <v>#N/A</v>
      </c>
      <c r="AE399" s="324">
        <f t="shared" ca="1" si="179"/>
        <v>946.80202903300005</v>
      </c>
      <c r="AG399" s="306">
        <f t="shared" ca="1" si="201"/>
        <v>-57.793759490943295</v>
      </c>
      <c r="AH399" s="304">
        <f t="shared" ca="1" si="202"/>
        <v>-48.191600649416905</v>
      </c>
    </row>
    <row r="400" spans="1:34" x14ac:dyDescent="0.2">
      <c r="A400" s="347">
        <f t="shared" ca="1" si="180"/>
        <v>0.01</v>
      </c>
      <c r="B400" s="304">
        <f t="shared" ca="1" si="181"/>
        <v>3.9599999999999596</v>
      </c>
      <c r="D400" s="306">
        <f t="shared" ca="1" si="182"/>
        <v>-9.8244681908900837</v>
      </c>
      <c r="E400" s="307">
        <f t="shared" ca="1" si="183"/>
        <v>-56.756817528206568</v>
      </c>
      <c r="F400" s="304">
        <f t="shared" ca="1" si="184"/>
        <v>57.600837764427936</v>
      </c>
      <c r="G400" s="306">
        <f t="shared" ca="1" si="185"/>
        <v>52.620956256315353</v>
      </c>
      <c r="H400" s="307">
        <f t="shared" ca="1" si="186"/>
        <v>251.35433320301939</v>
      </c>
      <c r="I400" s="304">
        <f t="shared" ca="1" si="187"/>
        <v>256.80336029200151</v>
      </c>
      <c r="J400" s="306">
        <f t="shared" ca="1" si="188"/>
        <v>186.56157524545731</v>
      </c>
      <c r="K400" s="307">
        <f t="shared" ca="1" si="189"/>
        <v>949.31841020590662</v>
      </c>
      <c r="L400" s="304">
        <f t="shared" ca="1" si="174"/>
        <v>967.47644173588867</v>
      </c>
      <c r="M400" s="306">
        <f t="shared" ca="1" si="190"/>
        <v>1.3644270393827229</v>
      </c>
      <c r="N400" s="304">
        <f t="shared" ca="1" si="191"/>
        <v>78.17591081016019</v>
      </c>
      <c r="P400" s="310">
        <f t="shared" ca="1" si="192"/>
        <v>23</v>
      </c>
      <c r="Q400" s="304">
        <f t="shared" ca="1" si="193"/>
        <v>0</v>
      </c>
      <c r="R400" s="306">
        <f t="shared" ca="1" si="194"/>
        <v>0</v>
      </c>
      <c r="S400" s="307">
        <f t="shared" ca="1" si="195"/>
        <v>4.9929999999999914</v>
      </c>
      <c r="T400" s="304">
        <f t="shared" ca="1" si="175"/>
        <v>48.981329999999922</v>
      </c>
      <c r="U400" s="311">
        <f t="shared" ca="1" si="176"/>
        <v>0</v>
      </c>
      <c r="V400" s="306">
        <f t="shared" ca="1" si="177"/>
        <v>1.1139782445680242</v>
      </c>
      <c r="W400" s="304">
        <f t="shared" ca="1" si="178"/>
        <v>238.3529507502746</v>
      </c>
      <c r="Y400" s="314" t="str">
        <f t="shared" ca="1" si="196"/>
        <v/>
      </c>
      <c r="Z400" s="315" t="str">
        <f t="shared" ca="1" si="197"/>
        <v/>
      </c>
      <c r="AA400" s="316" t="str">
        <f t="shared" ca="1" si="198"/>
        <v/>
      </c>
      <c r="AC400" s="310" t="e">
        <f t="shared" ca="1" si="199"/>
        <v>#N/A</v>
      </c>
      <c r="AD400" s="323" t="e">
        <f t="shared" ca="1" si="200"/>
        <v>#N/A</v>
      </c>
      <c r="AE400" s="324">
        <f t="shared" ca="1" si="179"/>
        <v>949.31841020590662</v>
      </c>
      <c r="AG400" s="306">
        <f t="shared" ca="1" si="201"/>
        <v>-57.565778502482225</v>
      </c>
      <c r="AH400" s="304">
        <f t="shared" ca="1" si="202"/>
        <v>-47.963776449113496</v>
      </c>
    </row>
    <row r="401" spans="1:34" x14ac:dyDescent="0.2">
      <c r="A401" s="347">
        <f t="shared" ca="1" si="180"/>
        <v>0.01</v>
      </c>
      <c r="B401" s="304">
        <f t="shared" ca="1" si="181"/>
        <v>3.9699999999999593</v>
      </c>
      <c r="D401" s="306">
        <f t="shared" ca="1" si="182"/>
        <v>-9.7817599446330696</v>
      </c>
      <c r="E401" s="307">
        <f t="shared" ca="1" si="183"/>
        <v>-56.534497678435223</v>
      </c>
      <c r="F401" s="304">
        <f t="shared" ca="1" si="184"/>
        <v>57.374491329923138</v>
      </c>
      <c r="G401" s="306">
        <f t="shared" ca="1" si="185"/>
        <v>52.523138656869023</v>
      </c>
      <c r="H401" s="307">
        <f t="shared" ca="1" si="186"/>
        <v>250.78898822623503</v>
      </c>
      <c r="I401" s="304">
        <f t="shared" ca="1" si="187"/>
        <v>256.22996840710755</v>
      </c>
      <c r="J401" s="306">
        <f t="shared" ca="1" si="188"/>
        <v>187.08729572002323</v>
      </c>
      <c r="K401" s="307">
        <f t="shared" ca="1" si="189"/>
        <v>951.82912681305288</v>
      </c>
      <c r="L401" s="304">
        <f t="shared" ca="1" si="174"/>
        <v>970.04141296623516</v>
      </c>
      <c r="M401" s="306">
        <f t="shared" ca="1" si="190"/>
        <v>1.3643485886293321</v>
      </c>
      <c r="N401" s="304">
        <f t="shared" ca="1" si="191"/>
        <v>78.171415913091266</v>
      </c>
      <c r="P401" s="310">
        <f t="shared" ca="1" si="192"/>
        <v>23</v>
      </c>
      <c r="Q401" s="304">
        <f t="shared" ca="1" si="193"/>
        <v>0</v>
      </c>
      <c r="R401" s="306">
        <f t="shared" ca="1" si="194"/>
        <v>0</v>
      </c>
      <c r="S401" s="307">
        <f t="shared" ca="1" si="195"/>
        <v>4.9929999999999914</v>
      </c>
      <c r="T401" s="304">
        <f t="shared" ca="1" si="175"/>
        <v>48.981329999999922</v>
      </c>
      <c r="U401" s="311">
        <f t="shared" ca="1" si="176"/>
        <v>0</v>
      </c>
      <c r="V401" s="306">
        <f t="shared" ca="1" si="177"/>
        <v>1.1136979582270634</v>
      </c>
      <c r="W401" s="304">
        <f t="shared" ca="1" si="178"/>
        <v>237.23004350562911</v>
      </c>
      <c r="Y401" s="314" t="str">
        <f t="shared" ca="1" si="196"/>
        <v/>
      </c>
      <c r="Z401" s="315" t="str">
        <f t="shared" ca="1" si="197"/>
        <v/>
      </c>
      <c r="AA401" s="316" t="str">
        <f t="shared" ca="1" si="198"/>
        <v/>
      </c>
      <c r="AC401" s="310" t="e">
        <f t="shared" ca="1" si="199"/>
        <v>#N/A</v>
      </c>
      <c r="AD401" s="323" t="e">
        <f t="shared" ca="1" si="200"/>
        <v>#N/A</v>
      </c>
      <c r="AE401" s="324">
        <f t="shared" ca="1" si="179"/>
        <v>951.82912681305288</v>
      </c>
      <c r="AG401" s="306">
        <f t="shared" ca="1" si="201"/>
        <v>-57.339267338028179</v>
      </c>
      <c r="AH401" s="304">
        <f t="shared" ca="1" si="202"/>
        <v>-47.737422541613263</v>
      </c>
    </row>
    <row r="402" spans="1:34" x14ac:dyDescent="0.2">
      <c r="A402" s="347">
        <f t="shared" ca="1" si="180"/>
        <v>0.01</v>
      </c>
      <c r="B402" s="304">
        <f t="shared" ca="1" si="181"/>
        <v>3.9799999999999591</v>
      </c>
      <c r="D402" s="306">
        <f t="shared" ca="1" si="182"/>
        <v>-9.7393252594256925</v>
      </c>
      <c r="E402" s="307">
        <f t="shared" ca="1" si="183"/>
        <v>-56.313609462001381</v>
      </c>
      <c r="F402" s="304">
        <f t="shared" ca="1" si="184"/>
        <v>57.14960251084603</v>
      </c>
      <c r="G402" s="306">
        <f t="shared" ca="1" si="185"/>
        <v>52.425745404274764</v>
      </c>
      <c r="H402" s="307">
        <f t="shared" ca="1" si="186"/>
        <v>250.22585213161503</v>
      </c>
      <c r="I402" s="304">
        <f t="shared" ca="1" si="187"/>
        <v>255.65882706487315</v>
      </c>
      <c r="J402" s="306">
        <f t="shared" ca="1" si="188"/>
        <v>187.61204014032896</v>
      </c>
      <c r="K402" s="307">
        <f t="shared" ca="1" si="189"/>
        <v>954.33420101484217</v>
      </c>
      <c r="L402" s="304">
        <f t="shared" ca="1" si="174"/>
        <v>972.60066051399201</v>
      </c>
      <c r="M402" s="306">
        <f t="shared" ca="1" si="190"/>
        <v>1.3642699331533932</v>
      </c>
      <c r="N402" s="304">
        <f t="shared" ca="1" si="191"/>
        <v>78.16690928628438</v>
      </c>
      <c r="P402" s="310">
        <f t="shared" ca="1" si="192"/>
        <v>23</v>
      </c>
      <c r="Q402" s="304">
        <f t="shared" ca="1" si="193"/>
        <v>0</v>
      </c>
      <c r="R402" s="306">
        <f t="shared" ca="1" si="194"/>
        <v>0</v>
      </c>
      <c r="S402" s="307">
        <f t="shared" ca="1" si="195"/>
        <v>4.9929999999999914</v>
      </c>
      <c r="T402" s="304">
        <f t="shared" ca="1" si="175"/>
        <v>48.981329999999922</v>
      </c>
      <c r="U402" s="311">
        <f t="shared" ca="1" si="176"/>
        <v>0</v>
      </c>
      <c r="V402" s="306">
        <f t="shared" ca="1" si="177"/>
        <v>1.1134183687223467</v>
      </c>
      <c r="W402" s="304">
        <f t="shared" ca="1" si="178"/>
        <v>236.11435140620674</v>
      </c>
      <c r="Y402" s="314" t="str">
        <f t="shared" ca="1" si="196"/>
        <v/>
      </c>
      <c r="Z402" s="315" t="str">
        <f t="shared" ca="1" si="197"/>
        <v/>
      </c>
      <c r="AA402" s="316" t="str">
        <f t="shared" ca="1" si="198"/>
        <v/>
      </c>
      <c r="AC402" s="310" t="e">
        <f t="shared" ca="1" si="199"/>
        <v>#N/A</v>
      </c>
      <c r="AD402" s="323" t="e">
        <f t="shared" ca="1" si="200"/>
        <v>#N/A</v>
      </c>
      <c r="AE402" s="324">
        <f t="shared" ca="1" si="179"/>
        <v>954.33420101484217</v>
      </c>
      <c r="AG402" s="306">
        <f t="shared" ca="1" si="201"/>
        <v>-57.114213307462123</v>
      </c>
      <c r="AH402" s="304">
        <f t="shared" ca="1" si="202"/>
        <v>-47.512526237858907</v>
      </c>
    </row>
    <row r="403" spans="1:34" x14ac:dyDescent="0.2">
      <c r="A403" s="347">
        <f t="shared" ca="1" si="180"/>
        <v>0.01</v>
      </c>
      <c r="B403" s="304">
        <f t="shared" ca="1" si="181"/>
        <v>3.9899999999999589</v>
      </c>
      <c r="D403" s="306">
        <f t="shared" ca="1" si="182"/>
        <v>-9.6971617764727345</v>
      </c>
      <c r="E403" s="307">
        <f t="shared" ca="1" si="183"/>
        <v>-56.094140550878301</v>
      </c>
      <c r="F403" s="304">
        <f t="shared" ca="1" si="184"/>
        <v>56.926158755538502</v>
      </c>
      <c r="G403" s="306">
        <f t="shared" ca="1" si="185"/>
        <v>52.328773786510034</v>
      </c>
      <c r="H403" s="307">
        <f t="shared" ca="1" si="186"/>
        <v>249.66491072610626</v>
      </c>
      <c r="I403" s="304">
        <f t="shared" ca="1" si="187"/>
        <v>255.08992181949162</v>
      </c>
      <c r="J403" s="306">
        <f t="shared" ca="1" si="188"/>
        <v>188.13581273628287</v>
      </c>
      <c r="K403" s="307">
        <f t="shared" ca="1" si="189"/>
        <v>956.83365482913075</v>
      </c>
      <c r="L403" s="304">
        <f t="shared" ca="1" si="174"/>
        <v>975.15420680403872</v>
      </c>
      <c r="M403" s="306">
        <f t="shared" ca="1" si="190"/>
        <v>1.3641910726528772</v>
      </c>
      <c r="N403" s="304">
        <f t="shared" ca="1" si="191"/>
        <v>78.162390912434518</v>
      </c>
      <c r="P403" s="310">
        <f t="shared" ca="1" si="192"/>
        <v>23</v>
      </c>
      <c r="Q403" s="304">
        <f t="shared" ca="1" si="193"/>
        <v>0</v>
      </c>
      <c r="R403" s="306">
        <f t="shared" ca="1" si="194"/>
        <v>0</v>
      </c>
      <c r="S403" s="307">
        <f t="shared" ca="1" si="195"/>
        <v>4.9929999999999914</v>
      </c>
      <c r="T403" s="304">
        <f t="shared" ca="1" si="175"/>
        <v>48.981329999999922</v>
      </c>
      <c r="U403" s="311">
        <f t="shared" ca="1" si="176"/>
        <v>0</v>
      </c>
      <c r="V403" s="306">
        <f t="shared" ca="1" si="177"/>
        <v>1.1131394731216384</v>
      </c>
      <c r="W403" s="304">
        <f t="shared" ca="1" si="178"/>
        <v>235.0058124589803</v>
      </c>
      <c r="Y403" s="314" t="str">
        <f t="shared" ca="1" si="196"/>
        <v/>
      </c>
      <c r="Z403" s="315" t="str">
        <f t="shared" ca="1" si="197"/>
        <v/>
      </c>
      <c r="AA403" s="316" t="str">
        <f t="shared" ca="1" si="198"/>
        <v/>
      </c>
      <c r="AC403" s="310" t="e">
        <f t="shared" ca="1" si="199"/>
        <v>#N/A</v>
      </c>
      <c r="AD403" s="323" t="e">
        <f t="shared" ca="1" si="200"/>
        <v>#N/A</v>
      </c>
      <c r="AE403" s="324">
        <f t="shared" ca="1" si="179"/>
        <v>956.83365482913075</v>
      </c>
      <c r="AG403" s="306">
        <f t="shared" ca="1" si="201"/>
        <v>-56.890603858089577</v>
      </c>
      <c r="AH403" s="304">
        <f t="shared" ca="1" si="202"/>
        <v>-47.28907498622214</v>
      </c>
    </row>
    <row r="404" spans="1:34" x14ac:dyDescent="0.2">
      <c r="A404" s="347">
        <f t="shared" ca="1" si="180"/>
        <v>0.01</v>
      </c>
      <c r="B404" s="304">
        <f t="shared" ca="1" si="181"/>
        <v>3.9999999999999587</v>
      </c>
      <c r="D404" s="306">
        <f t="shared" ca="1" si="182"/>
        <v>-9.6552671624672222</v>
      </c>
      <c r="E404" s="307">
        <f t="shared" ca="1" si="183"/>
        <v>-55.876078750263289</v>
      </c>
      <c r="F404" s="304">
        <f t="shared" ca="1" si="184"/>
        <v>56.704147647982886</v>
      </c>
      <c r="G404" s="306">
        <f t="shared" ca="1" si="185"/>
        <v>52.232221114885363</v>
      </c>
      <c r="H404" s="307">
        <f t="shared" ca="1" si="186"/>
        <v>249.10614993860364</v>
      </c>
      <c r="I404" s="304">
        <f t="shared" ca="1" si="187"/>
        <v>254.52323834932707</v>
      </c>
      <c r="J404" s="306">
        <f t="shared" ca="1" si="188"/>
        <v>188.65861771078985</v>
      </c>
      <c r="K404" s="307">
        <f t="shared" ca="1" si="189"/>
        <v>959.32751013245434</v>
      </c>
      <c r="L404" s="304">
        <f t="shared" ca="1" si="174"/>
        <v>977.70207411740728</v>
      </c>
      <c r="M404" s="306">
        <f t="shared" ca="1" si="190"/>
        <v>1.3641120068245738</v>
      </c>
      <c r="N404" s="304">
        <f t="shared" ca="1" si="191"/>
        <v>78.157860774169023</v>
      </c>
      <c r="P404" s="310">
        <f t="shared" ca="1" si="192"/>
        <v>23</v>
      </c>
      <c r="Q404" s="304">
        <f t="shared" ca="1" si="193"/>
        <v>0</v>
      </c>
      <c r="R404" s="306">
        <f t="shared" ca="1" si="194"/>
        <v>0</v>
      </c>
      <c r="S404" s="307">
        <f t="shared" ca="1" si="195"/>
        <v>4.9929999999999914</v>
      </c>
      <c r="T404" s="304">
        <f t="shared" ca="1" si="175"/>
        <v>48.981329999999922</v>
      </c>
      <c r="U404" s="311">
        <f t="shared" ca="1" si="176"/>
        <v>0</v>
      </c>
      <c r="V404" s="306">
        <f t="shared" ca="1" si="177"/>
        <v>1.1128612685121566</v>
      </c>
      <c r="W404" s="304">
        <f t="shared" ca="1" si="178"/>
        <v>233.90436533938313</v>
      </c>
      <c r="Y404" s="314" t="str">
        <f t="shared" ca="1" si="196"/>
        <v/>
      </c>
      <c r="Z404" s="315" t="str">
        <f t="shared" ca="1" si="197"/>
        <v/>
      </c>
      <c r="AA404" s="316" t="str">
        <f t="shared" ca="1" si="198"/>
        <v/>
      </c>
      <c r="AC404" s="310">
        <f t="shared" ca="1" si="199"/>
        <v>3.9999999999999587</v>
      </c>
      <c r="AD404" s="323">
        <f t="shared" ca="1" si="200"/>
        <v>188.65861771078985</v>
      </c>
      <c r="AE404" s="324">
        <f t="shared" ca="1" si="179"/>
        <v>959.32751013245434</v>
      </c>
      <c r="AG404" s="306">
        <f t="shared" ca="1" si="201"/>
        <v>-56.668426572852056</v>
      </c>
      <c r="AH404" s="304">
        <f t="shared" ca="1" si="202"/>
        <v>-47.067056370715143</v>
      </c>
    </row>
    <row r="405" spans="1:34" x14ac:dyDescent="0.2">
      <c r="A405" s="347">
        <f t="shared" ca="1" si="180"/>
        <v>0.1</v>
      </c>
      <c r="B405" s="304">
        <f t="shared" ca="1" si="181"/>
        <v>4.0999999999999588</v>
      </c>
      <c r="D405" s="306">
        <f t="shared" ca="1" si="182"/>
        <v>-9.6136391092596067</v>
      </c>
      <c r="E405" s="307">
        <f t="shared" ca="1" si="183"/>
        <v>-55.659411996848128</v>
      </c>
      <c r="F405" s="304">
        <f t="shared" ca="1" si="184"/>
        <v>56.483556906040953</v>
      </c>
      <c r="G405" s="306">
        <f t="shared" ca="1" si="185"/>
        <v>51.270857203959402</v>
      </c>
      <c r="H405" s="307">
        <f t="shared" ca="1" si="186"/>
        <v>243.54020873891884</v>
      </c>
      <c r="I405" s="304">
        <f t="shared" ca="1" si="187"/>
        <v>248.87855285465028</v>
      </c>
      <c r="J405" s="306">
        <f t="shared" ca="1" si="188"/>
        <v>193.8337716267321</v>
      </c>
      <c r="K405" s="307">
        <f t="shared" ca="1" si="189"/>
        <v>983.95982806633049</v>
      </c>
      <c r="L405" s="304">
        <f t="shared" ca="1" si="174"/>
        <v>1002.8701183460233</v>
      </c>
      <c r="M405" s="306">
        <f t="shared" ca="1" si="190"/>
        <v>1.3633031109214888</v>
      </c>
      <c r="N405" s="304">
        <f t="shared" ca="1" si="191"/>
        <v>78.111514452856838</v>
      </c>
      <c r="P405" s="310">
        <f t="shared" ca="1" si="192"/>
        <v>23</v>
      </c>
      <c r="Q405" s="304">
        <f t="shared" ca="1" si="193"/>
        <v>0</v>
      </c>
      <c r="R405" s="306">
        <f t="shared" ca="1" si="194"/>
        <v>0</v>
      </c>
      <c r="S405" s="307">
        <f t="shared" ca="1" si="195"/>
        <v>4.9929999999999914</v>
      </c>
      <c r="T405" s="304">
        <f t="shared" ca="1" si="175"/>
        <v>48.981329999999922</v>
      </c>
      <c r="U405" s="311">
        <f t="shared" ca="1" si="176"/>
        <v>0</v>
      </c>
      <c r="V405" s="306">
        <f t="shared" ca="1" si="177"/>
        <v>1.1101169370073725</v>
      </c>
      <c r="W405" s="304">
        <f t="shared" ca="1" si="178"/>
        <v>223.09307691150698</v>
      </c>
      <c r="Y405" s="314" t="str">
        <f t="shared" ca="1" si="196"/>
        <v/>
      </c>
      <c r="Z405" s="315" t="str">
        <f t="shared" ca="1" si="197"/>
        <v/>
      </c>
      <c r="AA405" s="316" t="str">
        <f t="shared" ca="1" si="198"/>
        <v/>
      </c>
      <c r="AC405" s="310" t="e">
        <f t="shared" ca="1" si="199"/>
        <v>#N/A</v>
      </c>
      <c r="AD405" s="323" t="e">
        <f t="shared" ca="1" si="200"/>
        <v>#N/A</v>
      </c>
      <c r="AE405" s="324">
        <f t="shared" ca="1" si="179"/>
        <v>983.95982806633049</v>
      </c>
      <c r="AG405" s="306">
        <f t="shared" ca="1" si="201"/>
        <v>-56.447669168566144</v>
      </c>
      <c r="AH405" s="304">
        <f t="shared" ca="1" si="202"/>
        <v>-46.84645810922963</v>
      </c>
    </row>
    <row r="406" spans="1:34" x14ac:dyDescent="0.2">
      <c r="A406" s="347">
        <f t="shared" ca="1" si="180"/>
        <v>0.1</v>
      </c>
      <c r="B406" s="304">
        <f t="shared" ca="1" si="181"/>
        <v>4.1999999999999584</v>
      </c>
      <c r="D406" s="306">
        <f t="shared" ca="1" si="182"/>
        <v>-9.2046574933812231</v>
      </c>
      <c r="E406" s="307">
        <f t="shared" ca="1" si="183"/>
        <v>-53.532776047816888</v>
      </c>
      <c r="F406" s="304">
        <f t="shared" ca="1" si="184"/>
        <v>54.318356298365444</v>
      </c>
      <c r="G406" s="306">
        <f t="shared" ca="1" si="185"/>
        <v>50.350391454621281</v>
      </c>
      <c r="H406" s="307">
        <f t="shared" ca="1" si="186"/>
        <v>238.18693113413715</v>
      </c>
      <c r="I406" s="304">
        <f t="shared" ca="1" si="187"/>
        <v>243.45056188625196</v>
      </c>
      <c r="J406" s="306">
        <f t="shared" ca="1" si="188"/>
        <v>198.91483405966113</v>
      </c>
      <c r="K406" s="307">
        <f t="shared" ca="1" si="189"/>
        <v>1008.0461850599833</v>
      </c>
      <c r="L406" s="304">
        <f t="shared" ca="1" si="174"/>
        <v>1027.4844146861637</v>
      </c>
      <c r="M406" s="306">
        <f t="shared" ca="1" si="190"/>
        <v>1.3624729899575332</v>
      </c>
      <c r="N406" s="304">
        <f t="shared" ca="1" si="191"/>
        <v>78.063952025136842</v>
      </c>
      <c r="P406" s="310">
        <f t="shared" ca="1" si="192"/>
        <v>23</v>
      </c>
      <c r="Q406" s="304">
        <f t="shared" ca="1" si="193"/>
        <v>0</v>
      </c>
      <c r="R406" s="306">
        <f t="shared" ca="1" si="194"/>
        <v>0</v>
      </c>
      <c r="S406" s="307">
        <f t="shared" ca="1" si="195"/>
        <v>4.9929999999999914</v>
      </c>
      <c r="T406" s="304">
        <f t="shared" ca="1" si="175"/>
        <v>48.981329999999922</v>
      </c>
      <c r="U406" s="311">
        <f t="shared" ca="1" si="176"/>
        <v>0</v>
      </c>
      <c r="V406" s="306">
        <f t="shared" ca="1" si="177"/>
        <v>1.1074396551853876</v>
      </c>
      <c r="W406" s="304">
        <f t="shared" ca="1" si="178"/>
        <v>212.95314194433155</v>
      </c>
      <c r="Y406" s="314" t="str">
        <f t="shared" ca="1" si="196"/>
        <v/>
      </c>
      <c r="Z406" s="315" t="str">
        <f t="shared" ca="1" si="197"/>
        <v/>
      </c>
      <c r="AA406" s="316" t="str">
        <f t="shared" ca="1" si="198"/>
        <v/>
      </c>
      <c r="AC406" s="310" t="e">
        <f t="shared" ca="1" si="199"/>
        <v>#N/A</v>
      </c>
      <c r="AD406" s="323" t="e">
        <f t="shared" ca="1" si="200"/>
        <v>#N/A</v>
      </c>
      <c r="AE406" s="324">
        <f t="shared" ca="1" si="179"/>
        <v>1008.0461850599833</v>
      </c>
      <c r="AG406" s="306">
        <f t="shared" ca="1" si="201"/>
        <v>-54.280748493837933</v>
      </c>
      <c r="AH406" s="304">
        <f t="shared" ca="1" si="202"/>
        <v>-44.681169018927974</v>
      </c>
    </row>
    <row r="407" spans="1:34" x14ac:dyDescent="0.2">
      <c r="A407" s="347">
        <f t="shared" ca="1" si="180"/>
        <v>0.1</v>
      </c>
      <c r="B407" s="304">
        <f t="shared" ca="1" si="181"/>
        <v>4.2999999999999581</v>
      </c>
      <c r="D407" s="306">
        <f t="shared" ca="1" si="182"/>
        <v>-8.8209336663659315</v>
      </c>
      <c r="E407" s="307">
        <f t="shared" ca="1" si="183"/>
        <v>-51.538198312481157</v>
      </c>
      <c r="F407" s="304">
        <f t="shared" ca="1" si="184"/>
        <v>52.28761570432394</v>
      </c>
      <c r="G407" s="306">
        <f t="shared" ca="1" si="185"/>
        <v>49.468298087984685</v>
      </c>
      <c r="H407" s="307">
        <f t="shared" ca="1" si="186"/>
        <v>233.03311130288904</v>
      </c>
      <c r="I407" s="304">
        <f t="shared" ca="1" si="187"/>
        <v>238.2258245430717</v>
      </c>
      <c r="J407" s="306">
        <f t="shared" ca="1" si="188"/>
        <v>203.90576853679144</v>
      </c>
      <c r="K407" s="307">
        <f t="shared" ca="1" si="189"/>
        <v>1031.6071871818347</v>
      </c>
      <c r="L407" s="304">
        <f t="shared" ca="1" si="174"/>
        <v>1051.5659518488587</v>
      </c>
      <c r="M407" s="306">
        <f t="shared" ca="1" si="190"/>
        <v>1.3616213181108363</v>
      </c>
      <c r="N407" s="304">
        <f t="shared" ca="1" si="191"/>
        <v>78.015154822791004</v>
      </c>
      <c r="P407" s="310">
        <f t="shared" ca="1" si="192"/>
        <v>23</v>
      </c>
      <c r="Q407" s="304">
        <f t="shared" ca="1" si="193"/>
        <v>0</v>
      </c>
      <c r="R407" s="306">
        <f t="shared" ca="1" si="194"/>
        <v>0</v>
      </c>
      <c r="S407" s="307">
        <f t="shared" ca="1" si="195"/>
        <v>4.9929999999999914</v>
      </c>
      <c r="T407" s="304">
        <f t="shared" ca="1" si="175"/>
        <v>48.981329999999922</v>
      </c>
      <c r="U407" s="311">
        <f t="shared" ca="1" si="176"/>
        <v>0</v>
      </c>
      <c r="V407" s="306">
        <f t="shared" ca="1" si="177"/>
        <v>1.1048267014926041</v>
      </c>
      <c r="W407" s="304">
        <f t="shared" ca="1" si="178"/>
        <v>203.42965299804109</v>
      </c>
      <c r="Y407" s="314" t="str">
        <f t="shared" ca="1" si="196"/>
        <v/>
      </c>
      <c r="Z407" s="315" t="str">
        <f t="shared" ca="1" si="197"/>
        <v/>
      </c>
      <c r="AA407" s="316" t="str">
        <f t="shared" ca="1" si="198"/>
        <v/>
      </c>
      <c r="AC407" s="310" t="e">
        <f t="shared" ca="1" si="199"/>
        <v>#N/A</v>
      </c>
      <c r="AD407" s="323" t="e">
        <f t="shared" ca="1" si="200"/>
        <v>#N/A</v>
      </c>
      <c r="AE407" s="324">
        <f t="shared" ca="1" si="179"/>
        <v>1031.6071871818347</v>
      </c>
      <c r="AG407" s="306">
        <f t="shared" ca="1" si="201"/>
        <v>-52.248237411225858</v>
      </c>
      <c r="AH407" s="304">
        <f t="shared" ca="1" si="202"/>
        <v>-42.650338863274968</v>
      </c>
    </row>
    <row r="408" spans="1:34" x14ac:dyDescent="0.2">
      <c r="A408" s="347">
        <f t="shared" ca="1" si="180"/>
        <v>0.1</v>
      </c>
      <c r="B408" s="304">
        <f t="shared" ca="1" si="181"/>
        <v>4.3999999999999577</v>
      </c>
      <c r="D408" s="306">
        <f t="shared" ca="1" si="182"/>
        <v>-8.4603985581569408</v>
      </c>
      <c r="E408" s="307">
        <f t="shared" ca="1" si="183"/>
        <v>-49.664878277056744</v>
      </c>
      <c r="F408" s="304">
        <f t="shared" ca="1" si="184"/>
        <v>50.380338208846183</v>
      </c>
      <c r="G408" s="306">
        <f t="shared" ca="1" si="185"/>
        <v>48.622258232168988</v>
      </c>
      <c r="H408" s="307">
        <f t="shared" ca="1" si="186"/>
        <v>228.06662347518338</v>
      </c>
      <c r="I408" s="304">
        <f t="shared" ca="1" si="187"/>
        <v>233.19199973190933</v>
      </c>
      <c r="J408" s="306">
        <f t="shared" ca="1" si="188"/>
        <v>208.81029635279913</v>
      </c>
      <c r="K408" s="307">
        <f t="shared" ca="1" si="189"/>
        <v>1054.6621739207383</v>
      </c>
      <c r="L408" s="304">
        <f t="shared" ca="1" si="174"/>
        <v>1075.1344292515989</v>
      </c>
      <c r="M408" s="306">
        <f t="shared" ca="1" si="190"/>
        <v>1.360747756488434</v>
      </c>
      <c r="N408" s="304">
        <f t="shared" ca="1" si="191"/>
        <v>77.965103428682752</v>
      </c>
      <c r="P408" s="310">
        <f t="shared" ca="1" si="192"/>
        <v>23</v>
      </c>
      <c r="Q408" s="304">
        <f t="shared" ca="1" si="193"/>
        <v>0</v>
      </c>
      <c r="R408" s="306">
        <f t="shared" ca="1" si="194"/>
        <v>0</v>
      </c>
      <c r="S408" s="307">
        <f t="shared" ca="1" si="195"/>
        <v>4.9929999999999914</v>
      </c>
      <c r="T408" s="304">
        <f t="shared" ca="1" si="175"/>
        <v>48.981329999999922</v>
      </c>
      <c r="U408" s="311">
        <f t="shared" ca="1" si="176"/>
        <v>0</v>
      </c>
      <c r="V408" s="306">
        <f t="shared" ca="1" si="177"/>
        <v>1.102275526685659</v>
      </c>
      <c r="W408" s="304">
        <f t="shared" ca="1" si="178"/>
        <v>194.4732524094575</v>
      </c>
      <c r="Y408" s="314" t="str">
        <f t="shared" ca="1" si="196"/>
        <v/>
      </c>
      <c r="Z408" s="315" t="str">
        <f t="shared" ca="1" si="197"/>
        <v/>
      </c>
      <c r="AA408" s="316" t="str">
        <f t="shared" ca="1" si="198"/>
        <v/>
      </c>
      <c r="AC408" s="310" t="e">
        <f t="shared" ca="1" si="199"/>
        <v>#N/A</v>
      </c>
      <c r="AD408" s="323" t="e">
        <f t="shared" ca="1" si="200"/>
        <v>#N/A</v>
      </c>
      <c r="AE408" s="324">
        <f t="shared" ca="1" si="179"/>
        <v>1054.6621739207383</v>
      </c>
      <c r="AG408" s="306">
        <f t="shared" ca="1" si="201"/>
        <v>-50.339137867194879</v>
      </c>
      <c r="AH408" s="304">
        <f t="shared" ca="1" si="202"/>
        <v>-40.742970758670424</v>
      </c>
    </row>
    <row r="409" spans="1:34" x14ac:dyDescent="0.2">
      <c r="A409" s="347">
        <f t="shared" ca="1" si="180"/>
        <v>0.1</v>
      </c>
      <c r="B409" s="304">
        <f t="shared" ca="1" si="181"/>
        <v>4.4999999999999574</v>
      </c>
      <c r="D409" s="306">
        <f t="shared" ca="1" si="182"/>
        <v>-8.1211922262999803</v>
      </c>
      <c r="E409" s="307">
        <f t="shared" ca="1" si="183"/>
        <v>-47.90310708690464</v>
      </c>
      <c r="F409" s="304">
        <f t="shared" ca="1" si="184"/>
        <v>48.586638407652458</v>
      </c>
      <c r="G409" s="306">
        <f t="shared" ca="1" si="185"/>
        <v>47.810139009538993</v>
      </c>
      <c r="H409" s="307">
        <f t="shared" ca="1" si="186"/>
        <v>223.27631276649291</v>
      </c>
      <c r="I409" s="304">
        <f t="shared" ca="1" si="187"/>
        <v>228.33773502141997</v>
      </c>
      <c r="J409" s="306">
        <f t="shared" ca="1" si="188"/>
        <v>213.63191621488454</v>
      </c>
      <c r="K409" s="307">
        <f t="shared" ca="1" si="189"/>
        <v>1077.2293207328221</v>
      </c>
      <c r="L409" s="304">
        <f t="shared" ca="1" si="174"/>
        <v>1098.2083614105934</v>
      </c>
      <c r="M409" s="306">
        <f t="shared" ca="1" si="190"/>
        <v>1.3598519527810675</v>
      </c>
      <c r="N409" s="304">
        <f t="shared" ca="1" si="191"/>
        <v>77.913777656978482</v>
      </c>
      <c r="P409" s="310">
        <f t="shared" ca="1" si="192"/>
        <v>23</v>
      </c>
      <c r="Q409" s="304">
        <f t="shared" ca="1" si="193"/>
        <v>0</v>
      </c>
      <c r="R409" s="306">
        <f t="shared" ca="1" si="194"/>
        <v>0</v>
      </c>
      <c r="S409" s="307">
        <f t="shared" ca="1" si="195"/>
        <v>4.9929999999999914</v>
      </c>
      <c r="T409" s="304">
        <f t="shared" ca="1" si="175"/>
        <v>48.981329999999922</v>
      </c>
      <c r="U409" s="311">
        <f t="shared" ca="1" si="176"/>
        <v>0</v>
      </c>
      <c r="V409" s="306">
        <f t="shared" ca="1" si="177"/>
        <v>1.0997837395686858</v>
      </c>
      <c r="W409" s="304">
        <f t="shared" ca="1" si="178"/>
        <v>186.03946881849424</v>
      </c>
      <c r="Y409" s="314" t="str">
        <f t="shared" ca="1" si="196"/>
        <v/>
      </c>
      <c r="Z409" s="315" t="str">
        <f t="shared" ca="1" si="197"/>
        <v/>
      </c>
      <c r="AA409" s="316" t="str">
        <f t="shared" ca="1" si="198"/>
        <v/>
      </c>
      <c r="AC409" s="310" t="e">
        <f t="shared" ca="1" si="199"/>
        <v>#N/A</v>
      </c>
      <c r="AD409" s="323" t="e">
        <f t="shared" ca="1" si="200"/>
        <v>#N/A</v>
      </c>
      <c r="AE409" s="324">
        <f t="shared" ca="1" si="179"/>
        <v>1077.2293207328221</v>
      </c>
      <c r="AG409" s="306">
        <f t="shared" ca="1" si="201"/>
        <v>-48.543563269215014</v>
      </c>
      <c r="AH409" s="304">
        <f t="shared" ca="1" si="202"/>
        <v>-38.949179332957705</v>
      </c>
    </row>
    <row r="410" spans="1:34" x14ac:dyDescent="0.2">
      <c r="A410" s="347">
        <f t="shared" ca="1" si="180"/>
        <v>0.1</v>
      </c>
      <c r="B410" s="304">
        <f t="shared" ca="1" si="181"/>
        <v>4.599999999999957</v>
      </c>
      <c r="D410" s="306">
        <f t="shared" ca="1" si="182"/>
        <v>-7.8016388525995213</v>
      </c>
      <c r="E410" s="307">
        <f t="shared" ca="1" si="183"/>
        <v>-46.24413703935663</v>
      </c>
      <c r="F410" s="304">
        <f t="shared" ca="1" si="184"/>
        <v>46.897609526511971</v>
      </c>
      <c r="G410" s="306">
        <f t="shared" ca="1" si="185"/>
        <v>47.029975124279041</v>
      </c>
      <c r="H410" s="307">
        <f t="shared" ca="1" si="186"/>
        <v>218.65189906255725</v>
      </c>
      <c r="I410" s="304">
        <f t="shared" ca="1" si="187"/>
        <v>223.65256878438268</v>
      </c>
      <c r="J410" s="306">
        <f t="shared" ca="1" si="188"/>
        <v>218.37392192157543</v>
      </c>
      <c r="K410" s="307">
        <f t="shared" ca="1" si="189"/>
        <v>1099.3257313242746</v>
      </c>
      <c r="L410" s="304">
        <f t="shared" ca="1" si="174"/>
        <v>1120.8051718862923</v>
      </c>
      <c r="M410" s="306">
        <f t="shared" ca="1" si="190"/>
        <v>1.358933540895686</v>
      </c>
      <c r="N410" s="304">
        <f t="shared" ca="1" si="191"/>
        <v>77.861156532091456</v>
      </c>
      <c r="P410" s="310">
        <f t="shared" ca="1" si="192"/>
        <v>23</v>
      </c>
      <c r="Q410" s="304">
        <f t="shared" ca="1" si="193"/>
        <v>0</v>
      </c>
      <c r="R410" s="306">
        <f t="shared" ca="1" si="194"/>
        <v>0</v>
      </c>
      <c r="S410" s="307">
        <f t="shared" ca="1" si="195"/>
        <v>4.9929999999999914</v>
      </c>
      <c r="T410" s="304">
        <f t="shared" ca="1" si="175"/>
        <v>48.981329999999922</v>
      </c>
      <c r="U410" s="311">
        <f t="shared" ca="1" si="176"/>
        <v>0</v>
      </c>
      <c r="V410" s="306">
        <f t="shared" ca="1" si="177"/>
        <v>1.097349094182384</v>
      </c>
      <c r="W410" s="304">
        <f t="shared" ca="1" si="178"/>
        <v>178.08814481613709</v>
      </c>
      <c r="Y410" s="314" t="str">
        <f t="shared" ca="1" si="196"/>
        <v/>
      </c>
      <c r="Z410" s="315" t="str">
        <f t="shared" ca="1" si="197"/>
        <v/>
      </c>
      <c r="AA410" s="316" t="str">
        <f t="shared" ca="1" si="198"/>
        <v/>
      </c>
      <c r="AC410" s="310" t="e">
        <f t="shared" ca="1" si="199"/>
        <v>#N/A</v>
      </c>
      <c r="AD410" s="323" t="e">
        <f t="shared" ca="1" si="200"/>
        <v>#N/A</v>
      </c>
      <c r="AE410" s="324">
        <f t="shared" ca="1" si="179"/>
        <v>1099.3257313242746</v>
      </c>
      <c r="AG410" s="306">
        <f t="shared" ca="1" si="201"/>
        <v>-46.852605603087781</v>
      </c>
      <c r="AH410" s="304">
        <f t="shared" ca="1" si="202"/>
        <v>-37.260057844681469</v>
      </c>
    </row>
    <row r="411" spans="1:34" x14ac:dyDescent="0.2">
      <c r="A411" s="347">
        <f t="shared" ca="1" si="180"/>
        <v>0.1</v>
      </c>
      <c r="B411" s="304">
        <f t="shared" ca="1" si="181"/>
        <v>4.6999999999999567</v>
      </c>
      <c r="D411" s="306">
        <f t="shared" ca="1" si="182"/>
        <v>-7.5002251738982375</v>
      </c>
      <c r="E411" s="307">
        <f t="shared" ca="1" si="183"/>
        <v>-44.680069000377522</v>
      </c>
      <c r="F411" s="304">
        <f t="shared" ca="1" si="184"/>
        <v>45.305208790355145</v>
      </c>
      <c r="G411" s="306">
        <f t="shared" ca="1" si="185"/>
        <v>46.279952606889218</v>
      </c>
      <c r="H411" s="307">
        <f t="shared" ca="1" si="186"/>
        <v>214.1838921625195</v>
      </c>
      <c r="I411" s="304">
        <f t="shared" ca="1" si="187"/>
        <v>219.12684380326775</v>
      </c>
      <c r="J411" s="306">
        <f t="shared" ca="1" si="188"/>
        <v>223.03941830813383</v>
      </c>
      <c r="K411" s="307">
        <f t="shared" ca="1" si="189"/>
        <v>1120.9675208855283</v>
      </c>
      <c r="L411" s="304">
        <f t="shared" ca="1" si="174"/>
        <v>1142.9412780189007</v>
      </c>
      <c r="M411" s="306">
        <f t="shared" ca="1" si="190"/>
        <v>1.3579921405650974</v>
      </c>
      <c r="N411" s="304">
        <f t="shared" ca="1" si="191"/>
        <v>77.807218266316525</v>
      </c>
      <c r="P411" s="310">
        <f t="shared" ca="1" si="192"/>
        <v>23</v>
      </c>
      <c r="Q411" s="304">
        <f t="shared" ca="1" si="193"/>
        <v>0</v>
      </c>
      <c r="R411" s="306">
        <f t="shared" ca="1" si="194"/>
        <v>0</v>
      </c>
      <c r="S411" s="307">
        <f t="shared" ca="1" si="195"/>
        <v>4.9929999999999914</v>
      </c>
      <c r="T411" s="304">
        <f t="shared" ca="1" si="175"/>
        <v>48.981329999999922</v>
      </c>
      <c r="U411" s="311">
        <f t="shared" ca="1" si="176"/>
        <v>0</v>
      </c>
      <c r="V411" s="306">
        <f t="shared" ca="1" si="177"/>
        <v>1.0949694782706432</v>
      </c>
      <c r="W411" s="304">
        <f t="shared" ca="1" si="178"/>
        <v>170.58294163905242</v>
      </c>
      <c r="Y411" s="314" t="str">
        <f t="shared" ca="1" si="196"/>
        <v/>
      </c>
      <c r="Z411" s="315" t="str">
        <f t="shared" ca="1" si="197"/>
        <v/>
      </c>
      <c r="AA411" s="316" t="str">
        <f t="shared" ca="1" si="198"/>
        <v>Satellite</v>
      </c>
      <c r="AC411" s="310" t="e">
        <f t="shared" ca="1" si="199"/>
        <v>#N/A</v>
      </c>
      <c r="AD411" s="323" t="e">
        <f t="shared" ca="1" si="200"/>
        <v>#N/A</v>
      </c>
      <c r="AE411" s="324">
        <f t="shared" ca="1" si="179"/>
        <v>1120.9675208855283</v>
      </c>
      <c r="AG411" s="306">
        <f t="shared" ca="1" si="201"/>
        <v>-45.258220800012452</v>
      </c>
      <c r="AH411" s="304">
        <f t="shared" ca="1" si="202"/>
        <v>-35.667563552200562</v>
      </c>
    </row>
    <row r="412" spans="1:34" x14ac:dyDescent="0.2">
      <c r="A412" s="347">
        <f t="shared" ca="1" si="180"/>
        <v>0.1</v>
      </c>
      <c r="B412" s="304">
        <f t="shared" ca="1" si="181"/>
        <v>4.7999999999999563</v>
      </c>
      <c r="D412" s="306">
        <f t="shared" ca="1" si="182"/>
        <v>-7.2155818165157308</v>
      </c>
      <c r="E412" s="307">
        <f t="shared" ca="1" si="183"/>
        <v>-43.203754976498956</v>
      </c>
      <c r="F412" s="304">
        <f t="shared" ca="1" si="184"/>
        <v>43.802158223313505</v>
      </c>
      <c r="G412" s="306">
        <f t="shared" ca="1" si="185"/>
        <v>45.558394425237644</v>
      </c>
      <c r="H412" s="307">
        <f t="shared" ca="1" si="186"/>
        <v>209.86351666486959</v>
      </c>
      <c r="I412" s="304">
        <f t="shared" ca="1" si="187"/>
        <v>214.75163079602333</v>
      </c>
      <c r="J412" s="306">
        <f t="shared" ca="1" si="188"/>
        <v>227.63133565974019</v>
      </c>
      <c r="K412" s="307">
        <f t="shared" ca="1" si="189"/>
        <v>1142.1698913268979</v>
      </c>
      <c r="L412" s="304">
        <f t="shared" ca="1" si="174"/>
        <v>1164.6321675224049</v>
      </c>
      <c r="M412" s="306">
        <f t="shared" ca="1" si="190"/>
        <v>1.3570273569341191</v>
      </c>
      <c r="N412" s="304">
        <f t="shared" ca="1" si="191"/>
        <v>77.751940236118159</v>
      </c>
      <c r="P412" s="310">
        <f t="shared" ca="1" si="192"/>
        <v>23</v>
      </c>
      <c r="Q412" s="304">
        <f t="shared" ca="1" si="193"/>
        <v>0</v>
      </c>
      <c r="R412" s="306">
        <f t="shared" ca="1" si="194"/>
        <v>0</v>
      </c>
      <c r="S412" s="307">
        <f t="shared" ca="1" si="195"/>
        <v>4.9929999999999914</v>
      </c>
      <c r="T412" s="304">
        <f t="shared" ca="1" si="175"/>
        <v>48.981329999999922</v>
      </c>
      <c r="U412" s="311">
        <f t="shared" ca="1" si="176"/>
        <v>0</v>
      </c>
      <c r="V412" s="306">
        <f t="shared" ca="1" si="177"/>
        <v>1.0926429028744657</v>
      </c>
      <c r="W412" s="304">
        <f t="shared" ca="1" si="178"/>
        <v>163.4909092420759</v>
      </c>
      <c r="Y412" s="314" t="str">
        <f t="shared" ca="1" si="196"/>
        <v/>
      </c>
      <c r="Z412" s="315" t="str">
        <f t="shared" ca="1" si="197"/>
        <v/>
      </c>
      <c r="AA412" s="316" t="str">
        <f t="shared" ca="1" si="198"/>
        <v/>
      </c>
      <c r="AC412" s="310" t="e">
        <f t="shared" ca="1" si="199"/>
        <v>#N/A</v>
      </c>
      <c r="AD412" s="323" t="e">
        <f t="shared" ca="1" si="200"/>
        <v>#N/A</v>
      </c>
      <c r="AE412" s="324">
        <f t="shared" ca="1" si="179"/>
        <v>1142.1698913268979</v>
      </c>
      <c r="AG412" s="306">
        <f t="shared" ca="1" si="201"/>
        <v>-43.753129534460413</v>
      </c>
      <c r="AH412" s="304">
        <f t="shared" ca="1" si="202"/>
        <v>-34.164418513729764</v>
      </c>
    </row>
    <row r="413" spans="1:34" x14ac:dyDescent="0.2">
      <c r="A413" s="347">
        <f t="shared" ca="1" si="180"/>
        <v>0.1</v>
      </c>
      <c r="B413" s="304">
        <f t="shared" ca="1" si="181"/>
        <v>4.8999999999999559</v>
      </c>
      <c r="D413" s="306">
        <f t="shared" ca="1" si="182"/>
        <v>-6.9464670945699458</v>
      </c>
      <c r="E413" s="307">
        <f t="shared" ca="1" si="183"/>
        <v>-41.808713546754738</v>
      </c>
      <c r="F413" s="304">
        <f t="shared" ca="1" si="184"/>
        <v>42.381858542665825</v>
      </c>
      <c r="G413" s="306">
        <f t="shared" ca="1" si="185"/>
        <v>44.863747715780647</v>
      </c>
      <c r="H413" s="307">
        <f t="shared" ca="1" si="186"/>
        <v>205.68264531019412</v>
      </c>
      <c r="I413" s="304">
        <f t="shared" ca="1" si="187"/>
        <v>210.51866055270332</v>
      </c>
      <c r="J413" s="306">
        <f t="shared" ca="1" si="188"/>
        <v>232.1524427667911</v>
      </c>
      <c r="K413" s="307">
        <f t="shared" ca="1" si="189"/>
        <v>1162.947199425651</v>
      </c>
      <c r="L413" s="304">
        <f t="shared" ca="1" si="174"/>
        <v>1185.8924678631504</v>
      </c>
      <c r="M413" s="306">
        <f t="shared" ca="1" si="190"/>
        <v>1.3560387801214957</v>
      </c>
      <c r="N413" s="304">
        <f t="shared" ca="1" si="191"/>
        <v>77.695298957030332</v>
      </c>
      <c r="P413" s="310">
        <f t="shared" ca="1" si="192"/>
        <v>23</v>
      </c>
      <c r="Q413" s="304">
        <f t="shared" ca="1" si="193"/>
        <v>0</v>
      </c>
      <c r="R413" s="306">
        <f t="shared" ca="1" si="194"/>
        <v>0</v>
      </c>
      <c r="S413" s="307">
        <f t="shared" ca="1" si="195"/>
        <v>4.9929999999999914</v>
      </c>
      <c r="T413" s="304">
        <f t="shared" ca="1" si="175"/>
        <v>48.981329999999922</v>
      </c>
      <c r="U413" s="311">
        <f t="shared" ca="1" si="176"/>
        <v>0</v>
      </c>
      <c r="V413" s="306">
        <f t="shared" ca="1" si="177"/>
        <v>1.0903674929231892</v>
      </c>
      <c r="W413" s="304">
        <f t="shared" ca="1" si="178"/>
        <v>156.78211203640657</v>
      </c>
      <c r="Y413" s="314" t="str">
        <f t="shared" ca="1" si="196"/>
        <v/>
      </c>
      <c r="Z413" s="315" t="str">
        <f t="shared" ca="1" si="197"/>
        <v/>
      </c>
      <c r="AA413" s="316" t="str">
        <f t="shared" ca="1" si="198"/>
        <v/>
      </c>
      <c r="AC413" s="310" t="e">
        <f t="shared" ca="1" si="199"/>
        <v>#N/A</v>
      </c>
      <c r="AD413" s="323" t="e">
        <f t="shared" ca="1" si="200"/>
        <v>#N/A</v>
      </c>
      <c r="AE413" s="324">
        <f t="shared" ca="1" si="179"/>
        <v>1162.947199425651</v>
      </c>
      <c r="AG413" s="306">
        <f t="shared" ca="1" si="201"/>
        <v>-42.330731115830062</v>
      </c>
      <c r="AH413" s="304">
        <f t="shared" ca="1" si="202"/>
        <v>-32.744023481289041</v>
      </c>
    </row>
    <row r="414" spans="1:34" x14ac:dyDescent="0.2">
      <c r="A414" s="347">
        <f t="shared" ca="1" si="180"/>
        <v>0.1</v>
      </c>
      <c r="B414" s="304">
        <f t="shared" ca="1" si="181"/>
        <v>4.9999999999999556</v>
      </c>
      <c r="D414" s="306">
        <f t="shared" ca="1" si="182"/>
        <v>-6.6917529061468528</v>
      </c>
      <c r="E414" s="307">
        <f t="shared" ca="1" si="183"/>
        <v>-40.489056244209578</v>
      </c>
      <c r="F414" s="304">
        <f t="shared" ca="1" si="184"/>
        <v>41.038314201532344</v>
      </c>
      <c r="G414" s="306">
        <f t="shared" ca="1" si="185"/>
        <v>44.194572425165958</v>
      </c>
      <c r="H414" s="307">
        <f t="shared" ca="1" si="186"/>
        <v>201.63373968577315</v>
      </c>
      <c r="I414" s="304">
        <f t="shared" ca="1" si="187"/>
        <v>206.42026356807457</v>
      </c>
      <c r="J414" s="306">
        <f t="shared" ca="1" si="188"/>
        <v>236.60535877383842</v>
      </c>
      <c r="K414" s="307">
        <f t="shared" ca="1" si="189"/>
        <v>1183.3130186754493</v>
      </c>
      <c r="L414" s="304">
        <f t="shared" ca="1" si="174"/>
        <v>1206.7360092279093</v>
      </c>
      <c r="M414" s="306">
        <f t="shared" ca="1" si="190"/>
        <v>1.3550259847567547</v>
      </c>
      <c r="N414" s="304">
        <f t="shared" ca="1" si="191"/>
        <v>77.637270057120261</v>
      </c>
      <c r="P414" s="310">
        <f t="shared" ca="1" si="192"/>
        <v>23</v>
      </c>
      <c r="Q414" s="304">
        <f t="shared" ca="1" si="193"/>
        <v>0</v>
      </c>
      <c r="R414" s="306">
        <f t="shared" ca="1" si="194"/>
        <v>0</v>
      </c>
      <c r="S414" s="307">
        <f t="shared" ca="1" si="195"/>
        <v>4.9929999999999914</v>
      </c>
      <c r="T414" s="304">
        <f t="shared" ca="1" si="175"/>
        <v>48.981329999999922</v>
      </c>
      <c r="U414" s="311">
        <f t="shared" ca="1" si="176"/>
        <v>0</v>
      </c>
      <c r="V414" s="306">
        <f t="shared" ca="1" si="177"/>
        <v>1.0881414787102019</v>
      </c>
      <c r="W414" s="304">
        <f t="shared" ca="1" si="178"/>
        <v>150.42930217922668</v>
      </c>
      <c r="Y414" s="314" t="str">
        <f t="shared" ca="1" si="196"/>
        <v/>
      </c>
      <c r="Z414" s="315" t="str">
        <f t="shared" ca="1" si="197"/>
        <v/>
      </c>
      <c r="AA414" s="316" t="str">
        <f t="shared" ca="1" si="198"/>
        <v/>
      </c>
      <c r="AC414" s="310">
        <f t="shared" ca="1" si="199"/>
        <v>4.9999999999999556</v>
      </c>
      <c r="AD414" s="323">
        <f t="shared" ca="1" si="200"/>
        <v>236.60535877383842</v>
      </c>
      <c r="AE414" s="324">
        <f t="shared" ca="1" si="179"/>
        <v>1183.3130186754493</v>
      </c>
      <c r="AG414" s="306">
        <f t="shared" ca="1" si="201"/>
        <v>-40.985028528717649</v>
      </c>
      <c r="AH414" s="304">
        <f t="shared" ca="1" si="202"/>
        <v>-31.400382943402132</v>
      </c>
    </row>
    <row r="415" spans="1:34" x14ac:dyDescent="0.2">
      <c r="A415" s="347">
        <f t="shared" ca="1" si="180"/>
        <v>0.1</v>
      </c>
      <c r="B415" s="304">
        <f t="shared" ca="1" si="181"/>
        <v>5.0999999999999552</v>
      </c>
      <c r="D415" s="306">
        <f t="shared" ca="1" si="182"/>
        <v>-6.4504124215079024</v>
      </c>
      <c r="E415" s="307">
        <f t="shared" ca="1" si="183"/>
        <v>-39.239423290982714</v>
      </c>
      <c r="F415" s="304">
        <f t="shared" ca="1" si="184"/>
        <v>39.766067955185861</v>
      </c>
      <c r="G415" s="306">
        <f t="shared" ca="1" si="185"/>
        <v>43.549531183015169</v>
      </c>
      <c r="H415" s="307">
        <f t="shared" ca="1" si="186"/>
        <v>197.70979735667487</v>
      </c>
      <c r="I415" s="304">
        <f t="shared" ca="1" si="187"/>
        <v>202.44931621785699</v>
      </c>
      <c r="J415" s="306">
        <f t="shared" ca="1" si="188"/>
        <v>240.99256395424749</v>
      </c>
      <c r="K415" s="307">
        <f t="shared" ca="1" si="189"/>
        <v>1203.2801955275715</v>
      </c>
      <c r="L415" s="304">
        <f t="shared" ca="1" si="174"/>
        <v>1227.1758817830935</v>
      </c>
      <c r="M415" s="306">
        <f t="shared" ca="1" si="190"/>
        <v>1.3539885294910949</v>
      </c>
      <c r="N415" s="304">
        <f t="shared" ca="1" si="191"/>
        <v>77.577828248964337</v>
      </c>
      <c r="P415" s="310">
        <f t="shared" ca="1" si="192"/>
        <v>23</v>
      </c>
      <c r="Q415" s="304">
        <f t="shared" ca="1" si="193"/>
        <v>0</v>
      </c>
      <c r="R415" s="306">
        <f t="shared" ca="1" si="194"/>
        <v>0</v>
      </c>
      <c r="S415" s="307">
        <f t="shared" ca="1" si="195"/>
        <v>4.9929999999999914</v>
      </c>
      <c r="T415" s="304">
        <f t="shared" ca="1" si="175"/>
        <v>48.981329999999922</v>
      </c>
      <c r="U415" s="311">
        <f t="shared" ca="1" si="176"/>
        <v>0</v>
      </c>
      <c r="V415" s="306">
        <f t="shared" ca="1" si="177"/>
        <v>1.0859631881549923</v>
      </c>
      <c r="W415" s="304">
        <f t="shared" ca="1" si="178"/>
        <v>144.40763361085334</v>
      </c>
      <c r="Y415" s="314" t="str">
        <f t="shared" ca="1" si="196"/>
        <v/>
      </c>
      <c r="Z415" s="315" t="str">
        <f t="shared" ca="1" si="197"/>
        <v/>
      </c>
      <c r="AA415" s="316" t="str">
        <f t="shared" ca="1" si="198"/>
        <v/>
      </c>
      <c r="AC415" s="310" t="e">
        <f t="shared" ca="1" si="199"/>
        <v>#N/A</v>
      </c>
      <c r="AD415" s="323" t="e">
        <f t="shared" ca="1" si="200"/>
        <v>#N/A</v>
      </c>
      <c r="AE415" s="324">
        <f t="shared" ca="1" si="179"/>
        <v>1203.2801955275715</v>
      </c>
      <c r="AG415" s="306">
        <f t="shared" ca="1" si="201"/>
        <v>-39.71056299666585</v>
      </c>
      <c r="AH415" s="304">
        <f t="shared" ca="1" si="202"/>
        <v>-30.128039691413367</v>
      </c>
    </row>
    <row r="416" spans="1:34" x14ac:dyDescent="0.2">
      <c r="A416" s="347">
        <f t="shared" ca="1" si="180"/>
        <v>0.1</v>
      </c>
      <c r="B416" s="304">
        <f t="shared" ca="1" si="181"/>
        <v>5.1999999999999549</v>
      </c>
      <c r="D416" s="306">
        <f t="shared" ca="1" si="182"/>
        <v>-6.2215093069116518</v>
      </c>
      <c r="E416" s="307">
        <f t="shared" ca="1" si="183"/>
        <v>-38.054927348423561</v>
      </c>
      <c r="F416" s="304">
        <f t="shared" ca="1" si="184"/>
        <v>38.56014358829313</v>
      </c>
      <c r="G416" s="306">
        <f t="shared" ca="1" si="185"/>
        <v>42.927380252324006</v>
      </c>
      <c r="H416" s="307">
        <f t="shared" ca="1" si="186"/>
        <v>193.90430462183252</v>
      </c>
      <c r="I416" s="304">
        <f t="shared" ca="1" si="187"/>
        <v>198.59919266251822</v>
      </c>
      <c r="J416" s="306">
        <f t="shared" ca="1" si="188"/>
        <v>245.31640952601444</v>
      </c>
      <c r="K416" s="307">
        <f t="shared" ca="1" si="189"/>
        <v>1222.8609006264969</v>
      </c>
      <c r="L416" s="304">
        <f t="shared" ca="1" si="174"/>
        <v>1247.2244878384095</v>
      </c>
      <c r="M416" s="306">
        <f t="shared" ca="1" si="190"/>
        <v>1.3529259564812981</v>
      </c>
      <c r="N416" s="304">
        <f t="shared" ca="1" si="191"/>
        <v>77.516947300078471</v>
      </c>
      <c r="P416" s="310">
        <f t="shared" ca="1" si="192"/>
        <v>23</v>
      </c>
      <c r="Q416" s="304">
        <f t="shared" ca="1" si="193"/>
        <v>0</v>
      </c>
      <c r="R416" s="306">
        <f t="shared" ca="1" si="194"/>
        <v>0</v>
      </c>
      <c r="S416" s="307">
        <f t="shared" ca="1" si="195"/>
        <v>4.9929999999999914</v>
      </c>
      <c r="T416" s="304">
        <f t="shared" ca="1" si="175"/>
        <v>48.981329999999922</v>
      </c>
      <c r="U416" s="311">
        <f t="shared" ca="1" si="176"/>
        <v>0</v>
      </c>
      <c r="V416" s="306">
        <f t="shared" ca="1" si="177"/>
        <v>1.0838310397658748</v>
      </c>
      <c r="W416" s="304">
        <f t="shared" ca="1" si="178"/>
        <v>138.69441111440037</v>
      </c>
      <c r="Y416" s="314" t="str">
        <f t="shared" ca="1" si="196"/>
        <v/>
      </c>
      <c r="Z416" s="315" t="str">
        <f t="shared" ca="1" si="197"/>
        <v/>
      </c>
      <c r="AA416" s="316" t="str">
        <f t="shared" ca="1" si="198"/>
        <v/>
      </c>
      <c r="AC416" s="310" t="e">
        <f t="shared" ca="1" si="199"/>
        <v>#N/A</v>
      </c>
      <c r="AD416" s="323" t="e">
        <f t="shared" ca="1" si="200"/>
        <v>#N/A</v>
      </c>
      <c r="AE416" s="324">
        <f t="shared" ca="1" si="179"/>
        <v>1222.8609006264969</v>
      </c>
      <c r="AG416" s="306">
        <f t="shared" ca="1" si="201"/>
        <v>-38.50235670669575</v>
      </c>
      <c r="AH416" s="304">
        <f t="shared" ca="1" si="202"/>
        <v>-28.922017546736146</v>
      </c>
    </row>
    <row r="417" spans="1:34" x14ac:dyDescent="0.2">
      <c r="A417" s="347">
        <f t="shared" ca="1" si="180"/>
        <v>0.1</v>
      </c>
      <c r="B417" s="304">
        <f t="shared" ca="1" si="181"/>
        <v>5.2999999999999545</v>
      </c>
      <c r="D417" s="306">
        <f t="shared" ca="1" si="182"/>
        <v>-6.0041882682879564</v>
      </c>
      <c r="E417" s="307">
        <f t="shared" ca="1" si="183"/>
        <v>-36.931104156313182</v>
      </c>
      <c r="F417" s="304">
        <f t="shared" ca="1" si="184"/>
        <v>37.415995656476916</v>
      </c>
      <c r="G417" s="306">
        <f t="shared" ca="1" si="185"/>
        <v>42.326961425495213</v>
      </c>
      <c r="H417" s="307">
        <f t="shared" ca="1" si="186"/>
        <v>190.21119420620121</v>
      </c>
      <c r="I417" s="304">
        <f t="shared" ca="1" si="187"/>
        <v>194.86372177720654</v>
      </c>
      <c r="J417" s="306">
        <f t="shared" ca="1" si="188"/>
        <v>249.57912660990539</v>
      </c>
      <c r="K417" s="307">
        <f t="shared" ca="1" si="189"/>
        <v>1242.0666755678985</v>
      </c>
      <c r="L417" s="304">
        <f t="shared" ca="1" si="174"/>
        <v>1266.893589452427</v>
      </c>
      <c r="M417" s="306">
        <f t="shared" ca="1" si="190"/>
        <v>1.3518377908455765</v>
      </c>
      <c r="N417" s="304">
        <f t="shared" ca="1" si="191"/>
        <v>77.454600001740445</v>
      </c>
      <c r="P417" s="310">
        <f t="shared" ca="1" si="192"/>
        <v>23</v>
      </c>
      <c r="Q417" s="304">
        <f t="shared" ca="1" si="193"/>
        <v>0</v>
      </c>
      <c r="R417" s="306">
        <f t="shared" ca="1" si="194"/>
        <v>0</v>
      </c>
      <c r="S417" s="307">
        <f t="shared" ca="1" si="195"/>
        <v>4.9929999999999914</v>
      </c>
      <c r="T417" s="304">
        <f t="shared" ca="1" si="175"/>
        <v>48.981329999999922</v>
      </c>
      <c r="U417" s="311">
        <f t="shared" ca="1" si="176"/>
        <v>0</v>
      </c>
      <c r="V417" s="306">
        <f t="shared" ca="1" si="177"/>
        <v>1.0817435362284498</v>
      </c>
      <c r="W417" s="304">
        <f t="shared" ca="1" si="178"/>
        <v>133.26886956459387</v>
      </c>
      <c r="Y417" s="314" t="str">
        <f t="shared" ca="1" si="196"/>
        <v/>
      </c>
      <c r="Z417" s="315" t="str">
        <f t="shared" ca="1" si="197"/>
        <v/>
      </c>
      <c r="AA417" s="316" t="str">
        <f t="shared" ca="1" si="198"/>
        <v/>
      </c>
      <c r="AC417" s="310" t="e">
        <f t="shared" ca="1" si="199"/>
        <v>#N/A</v>
      </c>
      <c r="AD417" s="323" t="e">
        <f t="shared" ca="1" si="200"/>
        <v>#N/A</v>
      </c>
      <c r="AE417" s="324">
        <f t="shared" ca="1" si="179"/>
        <v>1242.0666755678985</v>
      </c>
      <c r="AG417" s="306">
        <f t="shared" ca="1" si="201"/>
        <v>-37.355862548004609</v>
      </c>
      <c r="AH417" s="304">
        <f t="shared" ca="1" si="202"/>
        <v>-27.777771102423515</v>
      </c>
    </row>
    <row r="418" spans="1:34" x14ac:dyDescent="0.2">
      <c r="A418" s="347">
        <f t="shared" ca="1" si="180"/>
        <v>0.1</v>
      </c>
      <c r="B418" s="304">
        <f t="shared" ca="1" si="181"/>
        <v>5.3999999999999542</v>
      </c>
      <c r="D418" s="306">
        <f t="shared" ca="1" si="182"/>
        <v>-5.7976667326084623</v>
      </c>
      <c r="E418" s="307">
        <f t="shared" ca="1" si="183"/>
        <v>-35.863869110357903</v>
      </c>
      <c r="F418" s="304">
        <f t="shared" ca="1" si="184"/>
        <v>36.329465274172129</v>
      </c>
      <c r="G418" s="306">
        <f t="shared" ca="1" si="185"/>
        <v>41.747194752234364</v>
      </c>
      <c r="H418" s="307">
        <f t="shared" ca="1" si="186"/>
        <v>186.62480729516543</v>
      </c>
      <c r="I418" s="304">
        <f t="shared" ca="1" si="187"/>
        <v>191.23714850320951</v>
      </c>
      <c r="J418" s="306">
        <f t="shared" ca="1" si="188"/>
        <v>253.78283441879188</v>
      </c>
      <c r="K418" s="307">
        <f t="shared" ca="1" si="189"/>
        <v>1260.9084756429668</v>
      </c>
      <c r="L418" s="304">
        <f t="shared" ca="1" si="174"/>
        <v>1286.1943519522647</v>
      </c>
      <c r="M418" s="306">
        <f t="shared" ca="1" si="190"/>
        <v>1.350723540090164</v>
      </c>
      <c r="N418" s="304">
        <f t="shared" ca="1" si="191"/>
        <v>77.390758136136057</v>
      </c>
      <c r="P418" s="310">
        <f t="shared" ca="1" si="192"/>
        <v>23</v>
      </c>
      <c r="Q418" s="304">
        <f t="shared" ca="1" si="193"/>
        <v>0</v>
      </c>
      <c r="R418" s="306">
        <f t="shared" ca="1" si="194"/>
        <v>0</v>
      </c>
      <c r="S418" s="307">
        <f t="shared" ca="1" si="195"/>
        <v>4.9929999999999914</v>
      </c>
      <c r="T418" s="304">
        <f t="shared" ca="1" si="175"/>
        <v>48.981329999999922</v>
      </c>
      <c r="U418" s="311">
        <f t="shared" ca="1" si="176"/>
        <v>0</v>
      </c>
      <c r="V418" s="306">
        <f t="shared" ca="1" si="177"/>
        <v>1.0796992585540568</v>
      </c>
      <c r="W418" s="304">
        <f t="shared" ca="1" si="178"/>
        <v>128.11197927203028</v>
      </c>
      <c r="Y418" s="314" t="str">
        <f t="shared" ca="1" si="196"/>
        <v/>
      </c>
      <c r="Z418" s="315" t="str">
        <f t="shared" ca="1" si="197"/>
        <v/>
      </c>
      <c r="AA418" s="316" t="str">
        <f t="shared" ca="1" si="198"/>
        <v/>
      </c>
      <c r="AC418" s="310" t="e">
        <f t="shared" ca="1" si="199"/>
        <v>#N/A</v>
      </c>
      <c r="AD418" s="323" t="e">
        <f t="shared" ca="1" si="200"/>
        <v>#N/A</v>
      </c>
      <c r="AE418" s="324">
        <f t="shared" ca="1" si="179"/>
        <v>1260.9084756429668</v>
      </c>
      <c r="AG418" s="306">
        <f t="shared" ca="1" si="201"/>
        <v>-36.266919896793802</v>
      </c>
      <c r="AH418" s="304">
        <f t="shared" ca="1" si="202"/>
        <v>-26.691141511034267</v>
      </c>
    </row>
    <row r="419" spans="1:34" x14ac:dyDescent="0.2">
      <c r="A419" s="347">
        <f t="shared" ca="1" si="180"/>
        <v>0.1</v>
      </c>
      <c r="B419" s="304">
        <f t="shared" ca="1" si="181"/>
        <v>5.4999999999999538</v>
      </c>
      <c r="D419" s="306">
        <f t="shared" ca="1" si="182"/>
        <v>-5.6012275126736375</v>
      </c>
      <c r="E419" s="307">
        <f t="shared" ca="1" si="183"/>
        <v>-34.849478972731447</v>
      </c>
      <c r="F419" s="304">
        <f t="shared" ca="1" si="184"/>
        <v>35.29674112888587</v>
      </c>
      <c r="G419" s="306">
        <f t="shared" ca="1" si="185"/>
        <v>41.187072000966999</v>
      </c>
      <c r="H419" s="307">
        <f t="shared" ca="1" si="186"/>
        <v>183.13985939789228</v>
      </c>
      <c r="I419" s="304">
        <f t="shared" ca="1" si="187"/>
        <v>187.71409909831652</v>
      </c>
      <c r="J419" s="306">
        <f t="shared" ca="1" si="188"/>
        <v>257.92954775645194</v>
      </c>
      <c r="K419" s="307">
        <f t="shared" ca="1" si="189"/>
        <v>1279.3967089776197</v>
      </c>
      <c r="L419" s="304">
        <f t="shared" ca="1" si="174"/>
        <v>1305.1373837832598</v>
      </c>
      <c r="M419" s="306">
        <f t="shared" ca="1" si="190"/>
        <v>1.3495826935053683</v>
      </c>
      <c r="N419" s="304">
        <f t="shared" ca="1" si="191"/>
        <v>77.325392441755341</v>
      </c>
      <c r="P419" s="310">
        <f t="shared" ca="1" si="192"/>
        <v>23</v>
      </c>
      <c r="Q419" s="304">
        <f t="shared" ca="1" si="193"/>
        <v>0</v>
      </c>
      <c r="R419" s="306">
        <f t="shared" ca="1" si="194"/>
        <v>0</v>
      </c>
      <c r="S419" s="307">
        <f t="shared" ca="1" si="195"/>
        <v>4.9929999999999914</v>
      </c>
      <c r="T419" s="304">
        <f t="shared" ca="1" si="175"/>
        <v>48.981329999999922</v>
      </c>
      <c r="U419" s="311">
        <f t="shared" ca="1" si="176"/>
        <v>0</v>
      </c>
      <c r="V419" s="306">
        <f t="shared" ca="1" si="177"/>
        <v>1.0776968607304203</v>
      </c>
      <c r="W419" s="304">
        <f t="shared" ca="1" si="178"/>
        <v>123.20627394487754</v>
      </c>
      <c r="Y419" s="314" t="str">
        <f t="shared" ca="1" si="196"/>
        <v/>
      </c>
      <c r="Z419" s="315" t="str">
        <f t="shared" ca="1" si="197"/>
        <v/>
      </c>
      <c r="AA419" s="316" t="str">
        <f t="shared" ca="1" si="198"/>
        <v/>
      </c>
      <c r="AC419" s="310" t="e">
        <f t="shared" ca="1" si="199"/>
        <v>#N/A</v>
      </c>
      <c r="AD419" s="323" t="e">
        <f t="shared" ca="1" si="200"/>
        <v>#N/A</v>
      </c>
      <c r="AE419" s="324">
        <f t="shared" ca="1" si="179"/>
        <v>1279.3967089776197</v>
      </c>
      <c r="AG419" s="306">
        <f t="shared" ca="1" si="201"/>
        <v>-35.231715627327546</v>
      </c>
      <c r="AH419" s="304">
        <f t="shared" ca="1" si="202"/>
        <v>-25.658317498904566</v>
      </c>
    </row>
    <row r="420" spans="1:34" x14ac:dyDescent="0.2">
      <c r="A420" s="347">
        <f t="shared" ca="1" si="180"/>
        <v>0.1</v>
      </c>
      <c r="B420" s="304">
        <f t="shared" ca="1" si="181"/>
        <v>5.5999999999999535</v>
      </c>
      <c r="D420" s="306">
        <f t="shared" ca="1" si="182"/>
        <v>-5.4142123242414701</v>
      </c>
      <c r="E420" s="307">
        <f t="shared" ca="1" si="183"/>
        <v>-33.884498031533731</v>
      </c>
      <c r="F420" s="304">
        <f t="shared" ca="1" si="184"/>
        <v>34.31432502528618</v>
      </c>
      <c r="G420" s="306">
        <f t="shared" ca="1" si="185"/>
        <v>40.645650768542851</v>
      </c>
      <c r="H420" s="307">
        <f t="shared" ca="1" si="186"/>
        <v>179.7514095947389</v>
      </c>
      <c r="I420" s="304">
        <f t="shared" ca="1" si="187"/>
        <v>184.28954983311979</v>
      </c>
      <c r="J420" s="306">
        <f t="shared" ca="1" si="188"/>
        <v>262.02118389492745</v>
      </c>
      <c r="K420" s="307">
        <f t="shared" ca="1" si="189"/>
        <v>1297.5412724272512</v>
      </c>
      <c r="L420" s="304">
        <f t="shared" ca="1" si="174"/>
        <v>1323.7327730557363</v>
      </c>
      <c r="M420" s="306">
        <f t="shared" ca="1" si="190"/>
        <v>1.3484147215297</v>
      </c>
      <c r="N420" s="304">
        <f t="shared" ca="1" si="191"/>
        <v>77.258472576959988</v>
      </c>
      <c r="P420" s="310">
        <f t="shared" ca="1" si="192"/>
        <v>23</v>
      </c>
      <c r="Q420" s="304">
        <f t="shared" ca="1" si="193"/>
        <v>0</v>
      </c>
      <c r="R420" s="306">
        <f t="shared" ca="1" si="194"/>
        <v>0</v>
      </c>
      <c r="S420" s="307">
        <f t="shared" ca="1" si="195"/>
        <v>4.9929999999999914</v>
      </c>
      <c r="T420" s="304">
        <f t="shared" ca="1" si="175"/>
        <v>48.981329999999922</v>
      </c>
      <c r="U420" s="311">
        <f t="shared" ca="1" si="176"/>
        <v>0</v>
      </c>
      <c r="V420" s="306">
        <f t="shared" ca="1" si="177"/>
        <v>1.0757350648235435</v>
      </c>
      <c r="W420" s="304">
        <f t="shared" ca="1" si="178"/>
        <v>118.53569830430314</v>
      </c>
      <c r="Y420" s="314" t="str">
        <f t="shared" ca="1" si="196"/>
        <v/>
      </c>
      <c r="Z420" s="315" t="str">
        <f t="shared" ca="1" si="197"/>
        <v/>
      </c>
      <c r="AA420" s="316" t="str">
        <f t="shared" ca="1" si="198"/>
        <v/>
      </c>
      <c r="AC420" s="310" t="e">
        <f t="shared" ca="1" si="199"/>
        <v>#N/A</v>
      </c>
      <c r="AD420" s="323" t="e">
        <f t="shared" ca="1" si="200"/>
        <v>#N/A</v>
      </c>
      <c r="AE420" s="324">
        <f t="shared" ca="1" si="179"/>
        <v>1297.5412724272512</v>
      </c>
      <c r="AG420" s="306">
        <f t="shared" ca="1" si="201"/>
        <v>-34.246749652636808</v>
      </c>
      <c r="AH420" s="304">
        <f t="shared" ca="1" si="202"/>
        <v>-24.675800910249901</v>
      </c>
    </row>
    <row r="421" spans="1:34" x14ac:dyDescent="0.2">
      <c r="A421" s="347">
        <f t="shared" ca="1" si="180"/>
        <v>0.1</v>
      </c>
      <c r="B421" s="304">
        <f t="shared" ca="1" si="181"/>
        <v>5.6999999999999531</v>
      </c>
      <c r="D421" s="306">
        <f t="shared" ca="1" si="182"/>
        <v>-5.2360160438054484</v>
      </c>
      <c r="E421" s="307">
        <f t="shared" ca="1" si="183"/>
        <v>-32.965768126195485</v>
      </c>
      <c r="F421" s="304">
        <f t="shared" ca="1" si="184"/>
        <v>33.379001365545292</v>
      </c>
      <c r="G421" s="306">
        <f t="shared" ca="1" si="185"/>
        <v>40.122049164162306</v>
      </c>
      <c r="H421" s="307">
        <f t="shared" ca="1" si="186"/>
        <v>176.45483278211935</v>
      </c>
      <c r="I421" s="304">
        <f t="shared" ca="1" si="187"/>
        <v>180.95879873965001</v>
      </c>
      <c r="J421" s="306">
        <f t="shared" ca="1" si="188"/>
        <v>266.05956889156272</v>
      </c>
      <c r="K421" s="307">
        <f t="shared" ca="1" si="189"/>
        <v>1315.351584546094</v>
      </c>
      <c r="L421" s="304">
        <f t="shared" ca="1" si="174"/>
        <v>1341.9901211136707</v>
      </c>
      <c r="M421" s="306">
        <f t="shared" ca="1" si="190"/>
        <v>1.3472190750805837</v>
      </c>
      <c r="N421" s="304">
        <f t="shared" ca="1" si="191"/>
        <v>77.189967081635828</v>
      </c>
      <c r="P421" s="310">
        <f t="shared" ca="1" si="192"/>
        <v>23</v>
      </c>
      <c r="Q421" s="304">
        <f t="shared" ca="1" si="193"/>
        <v>0</v>
      </c>
      <c r="R421" s="306">
        <f t="shared" ca="1" si="194"/>
        <v>0</v>
      </c>
      <c r="S421" s="307">
        <f t="shared" ca="1" si="195"/>
        <v>4.9929999999999914</v>
      </c>
      <c r="T421" s="304">
        <f t="shared" ca="1" si="175"/>
        <v>48.981329999999922</v>
      </c>
      <c r="U421" s="311">
        <f t="shared" ca="1" si="176"/>
        <v>0</v>
      </c>
      <c r="V421" s="306">
        <f t="shared" ca="1" si="177"/>
        <v>1.073812656485837</v>
      </c>
      <c r="W421" s="304">
        <f t="shared" ca="1" si="178"/>
        <v>114.0854728208883</v>
      </c>
      <c r="Y421" s="314" t="str">
        <f t="shared" ca="1" si="196"/>
        <v/>
      </c>
      <c r="Z421" s="315" t="str">
        <f t="shared" ca="1" si="197"/>
        <v/>
      </c>
      <c r="AA421" s="316" t="str">
        <f t="shared" ca="1" si="198"/>
        <v/>
      </c>
      <c r="AC421" s="310" t="e">
        <f t="shared" ca="1" si="199"/>
        <v>#N/A</v>
      </c>
      <c r="AD421" s="323" t="e">
        <f t="shared" ca="1" si="200"/>
        <v>#N/A</v>
      </c>
      <c r="AE421" s="324">
        <f t="shared" ca="1" si="179"/>
        <v>1315.351584546094</v>
      </c>
      <c r="AG421" s="306">
        <f t="shared" ca="1" si="201"/>
        <v>-33.308804401283396</v>
      </c>
      <c r="AH421" s="304">
        <f t="shared" ca="1" si="202"/>
        <v>-23.7403761875232</v>
      </c>
    </row>
    <row r="422" spans="1:34" x14ac:dyDescent="0.2">
      <c r="A422" s="347">
        <f t="shared" ca="1" si="180"/>
        <v>0.1</v>
      </c>
      <c r="B422" s="304">
        <f t="shared" ca="1" si="181"/>
        <v>5.7999999999999527</v>
      </c>
      <c r="D422" s="306">
        <f t="shared" ca="1" si="182"/>
        <v>-5.0660816115721374</v>
      </c>
      <c r="E422" s="307">
        <f t="shared" ca="1" si="183"/>
        <v>-32.090382040631383</v>
      </c>
      <c r="F422" s="304">
        <f t="shared" ca="1" si="184"/>
        <v>32.487810058678726</v>
      </c>
      <c r="G422" s="306">
        <f t="shared" ca="1" si="185"/>
        <v>39.615441003005088</v>
      </c>
      <c r="H422" s="307">
        <f t="shared" ca="1" si="186"/>
        <v>173.24579457805621</v>
      </c>
      <c r="I422" s="304">
        <f t="shared" ca="1" si="187"/>
        <v>177.71744006946707</v>
      </c>
      <c r="J422" s="306">
        <f t="shared" ca="1" si="188"/>
        <v>270.04644339992109</v>
      </c>
      <c r="K422" s="307">
        <f t="shared" ca="1" si="189"/>
        <v>1332.8366159141028</v>
      </c>
      <c r="L422" s="304">
        <f t="shared" ca="1" si="174"/>
        <v>1359.9185734132409</v>
      </c>
      <c r="M422" s="306">
        <f t="shared" ca="1" si="190"/>
        <v>1.3459951848500551</v>
      </c>
      <c r="N422" s="304">
        <f t="shared" ca="1" si="191"/>
        <v>77.119843336839239</v>
      </c>
      <c r="P422" s="310">
        <f t="shared" ca="1" si="192"/>
        <v>23</v>
      </c>
      <c r="Q422" s="304">
        <f t="shared" ca="1" si="193"/>
        <v>0</v>
      </c>
      <c r="R422" s="306">
        <f t="shared" ca="1" si="194"/>
        <v>0</v>
      </c>
      <c r="S422" s="307">
        <f t="shared" ca="1" si="195"/>
        <v>4.9929999999999914</v>
      </c>
      <c r="T422" s="304">
        <f t="shared" ca="1" si="175"/>
        <v>48.981329999999922</v>
      </c>
      <c r="U422" s="311">
        <f t="shared" ca="1" si="176"/>
        <v>0</v>
      </c>
      <c r="V422" s="306">
        <f t="shared" ca="1" si="177"/>
        <v>1.0719284808306477</v>
      </c>
      <c r="W422" s="304">
        <f t="shared" ca="1" si="178"/>
        <v>109.84197340158566</v>
      </c>
      <c r="Y422" s="314" t="str">
        <f t="shared" ca="1" si="196"/>
        <v/>
      </c>
      <c r="Z422" s="315" t="str">
        <f t="shared" ca="1" si="197"/>
        <v/>
      </c>
      <c r="AA422" s="316" t="str">
        <f t="shared" ca="1" si="198"/>
        <v/>
      </c>
      <c r="AC422" s="310" t="e">
        <f t="shared" ca="1" si="199"/>
        <v>#N/A</v>
      </c>
      <c r="AD422" s="323" t="e">
        <f t="shared" ca="1" si="200"/>
        <v>#N/A</v>
      </c>
      <c r="AE422" s="324">
        <f t="shared" ca="1" si="179"/>
        <v>1332.8366159141028</v>
      </c>
      <c r="AG422" s="306">
        <f t="shared" ca="1" si="201"/>
        <v>-32.414917722913913</v>
      </c>
      <c r="AH422" s="304">
        <f t="shared" ca="1" si="202"/>
        <v>-22.849083280770778</v>
      </c>
    </row>
    <row r="423" spans="1:34" x14ac:dyDescent="0.2">
      <c r="A423" s="347">
        <f t="shared" ca="1" si="180"/>
        <v>0.1</v>
      </c>
      <c r="B423" s="304">
        <f t="shared" ca="1" si="181"/>
        <v>5.8999999999999524</v>
      </c>
      <c r="D423" s="306">
        <f t="shared" ca="1" si="182"/>
        <v>-4.9038954978426386</v>
      </c>
      <c r="E423" s="307">
        <f t="shared" ca="1" si="183"/>
        <v>-31.255659837209791</v>
      </c>
      <c r="F423" s="304">
        <f t="shared" ca="1" si="184"/>
        <v>31.638022424183383</v>
      </c>
      <c r="G423" s="306">
        <f t="shared" ca="1" si="185"/>
        <v>39.125051453220827</v>
      </c>
      <c r="H423" s="307">
        <f t="shared" ca="1" si="186"/>
        <v>170.12022859433523</v>
      </c>
      <c r="I423" s="304">
        <f t="shared" ca="1" si="187"/>
        <v>174.56134116179919</v>
      </c>
      <c r="J423" s="306">
        <f t="shared" ca="1" si="188"/>
        <v>273.98346802273238</v>
      </c>
      <c r="K423" s="307">
        <f t="shared" ca="1" si="189"/>
        <v>1350.0049170727225</v>
      </c>
      <c r="L423" s="304">
        <f t="shared" ca="1" si="174"/>
        <v>1377.5268479671429</v>
      </c>
      <c r="M423" s="306">
        <f t="shared" ca="1" si="190"/>
        <v>1.3447424605637239</v>
      </c>
      <c r="N423" s="304">
        <f t="shared" ca="1" si="191"/>
        <v>77.048067522338926</v>
      </c>
      <c r="P423" s="310">
        <f t="shared" ca="1" si="192"/>
        <v>23</v>
      </c>
      <c r="Q423" s="304">
        <f t="shared" ca="1" si="193"/>
        <v>0</v>
      </c>
      <c r="R423" s="306">
        <f t="shared" ca="1" si="194"/>
        <v>0</v>
      </c>
      <c r="S423" s="307">
        <f t="shared" ca="1" si="195"/>
        <v>4.9929999999999914</v>
      </c>
      <c r="T423" s="304">
        <f t="shared" ca="1" si="175"/>
        <v>48.981329999999922</v>
      </c>
      <c r="U423" s="311">
        <f t="shared" ca="1" si="176"/>
        <v>0</v>
      </c>
      <c r="V423" s="306">
        <f t="shared" ca="1" si="177"/>
        <v>1.0700814386378297</v>
      </c>
      <c r="W423" s="304">
        <f t="shared" ca="1" si="178"/>
        <v>105.79262416227137</v>
      </c>
      <c r="Y423" s="314" t="str">
        <f t="shared" ca="1" si="196"/>
        <v/>
      </c>
      <c r="Z423" s="315" t="str">
        <f t="shared" ca="1" si="197"/>
        <v/>
      </c>
      <c r="AA423" s="316" t="str">
        <f t="shared" ca="1" si="198"/>
        <v/>
      </c>
      <c r="AC423" s="310" t="e">
        <f t="shared" ca="1" si="199"/>
        <v>#N/A</v>
      </c>
      <c r="AD423" s="323" t="e">
        <f t="shared" ca="1" si="200"/>
        <v>#N/A</v>
      </c>
      <c r="AE423" s="324">
        <f t="shared" ca="1" si="179"/>
        <v>1350.0049170727225</v>
      </c>
      <c r="AG423" s="306">
        <f t="shared" ca="1" si="201"/>
        <v>-31.562358787893814</v>
      </c>
      <c r="AH423" s="304">
        <f t="shared" ca="1" si="202"/>
        <v>-21.999193551288975</v>
      </c>
    </row>
    <row r="424" spans="1:34" x14ac:dyDescent="0.2">
      <c r="A424" s="347">
        <f t="shared" ca="1" si="180"/>
        <v>0.1</v>
      </c>
      <c r="B424" s="304">
        <f t="shared" ca="1" si="181"/>
        <v>5.999999999999952</v>
      </c>
      <c r="D424" s="306">
        <f t="shared" ca="1" si="182"/>
        <v>-4.7489836625157569</v>
      </c>
      <c r="E424" s="307">
        <f t="shared" ca="1" si="183"/>
        <v>-30.459127764698088</v>
      </c>
      <c r="F424" s="304">
        <f t="shared" ca="1" si="184"/>
        <v>30.827119716461407</v>
      </c>
      <c r="G424" s="306">
        <f t="shared" ca="1" si="185"/>
        <v>38.650153086969254</v>
      </c>
      <c r="H424" s="307">
        <f t="shared" ca="1" si="186"/>
        <v>167.07431581786543</v>
      </c>
      <c r="I424" s="304">
        <f t="shared" ca="1" si="187"/>
        <v>171.48662145967538</v>
      </c>
      <c r="J424" s="306">
        <f t="shared" ca="1" si="188"/>
        <v>277.87222824974191</v>
      </c>
      <c r="K424" s="307">
        <f t="shared" ca="1" si="189"/>
        <v>1366.8646442933325</v>
      </c>
      <c r="L424" s="304">
        <f t="shared" ca="1" si="174"/>
        <v>1394.8232615824897</v>
      </c>
      <c r="M424" s="306">
        <f t="shared" ca="1" si="190"/>
        <v>1.3434602902011659</v>
      </c>
      <c r="N424" s="304">
        <f t="shared" ca="1" si="191"/>
        <v>76.974604571947594</v>
      </c>
      <c r="P424" s="310">
        <f t="shared" ca="1" si="192"/>
        <v>23</v>
      </c>
      <c r="Q424" s="304">
        <f t="shared" ca="1" si="193"/>
        <v>0</v>
      </c>
      <c r="R424" s="306">
        <f t="shared" ca="1" si="194"/>
        <v>0</v>
      </c>
      <c r="S424" s="307">
        <f t="shared" ca="1" si="195"/>
        <v>4.9929999999999914</v>
      </c>
      <c r="T424" s="304">
        <f t="shared" ca="1" si="175"/>
        <v>48.981329999999922</v>
      </c>
      <c r="U424" s="311">
        <f t="shared" ca="1" si="176"/>
        <v>0</v>
      </c>
      <c r="V424" s="306">
        <f t="shared" ca="1" si="177"/>
        <v>1.0682704828589316</v>
      </c>
      <c r="W424" s="304">
        <f t="shared" ca="1" si="178"/>
        <v>101.92580167929601</v>
      </c>
      <c r="Y424" s="314" t="str">
        <f t="shared" ca="1" si="196"/>
        <v/>
      </c>
      <c r="Z424" s="315" t="str">
        <f t="shared" ca="1" si="197"/>
        <v/>
      </c>
      <c r="AA424" s="316" t="str">
        <f t="shared" ca="1" si="198"/>
        <v/>
      </c>
      <c r="AC424" s="310">
        <f t="shared" ca="1" si="199"/>
        <v>5.999999999999952</v>
      </c>
      <c r="AD424" s="323">
        <f t="shared" ca="1" si="200"/>
        <v>277.87222824974191</v>
      </c>
      <c r="AE424" s="324">
        <f t="shared" ca="1" si="179"/>
        <v>1366.8646442933325</v>
      </c>
      <c r="AG424" s="306">
        <f t="shared" ca="1" si="201"/>
        <v>-30.748606607495276</v>
      </c>
      <c r="AH424" s="304">
        <f t="shared" ca="1" si="202"/>
        <v>-21.188188296068805</v>
      </c>
    </row>
    <row r="425" spans="1:34" x14ac:dyDescent="0.2">
      <c r="A425" s="347">
        <f t="shared" ca="1" si="180"/>
        <v>0.1</v>
      </c>
      <c r="B425" s="304">
        <f t="shared" ca="1" si="181"/>
        <v>6.0999999999999517</v>
      </c>
      <c r="D425" s="306">
        <f t="shared" ca="1" si="182"/>
        <v>-4.6009079471672516</v>
      </c>
      <c r="E425" s="307">
        <f t="shared" ca="1" si="183"/>
        <v>-29.69849942416166</v>
      </c>
      <c r="F425" s="304">
        <f t="shared" ca="1" si="184"/>
        <v>30.05277394826037</v>
      </c>
      <c r="G425" s="306">
        <f t="shared" ca="1" si="185"/>
        <v>38.190062292252527</v>
      </c>
      <c r="H425" s="307">
        <f t="shared" ca="1" si="186"/>
        <v>164.10446587544925</v>
      </c>
      <c r="I425" s="304">
        <f t="shared" ca="1" si="187"/>
        <v>168.48963344417547</v>
      </c>
      <c r="J425" s="306">
        <f t="shared" ca="1" si="188"/>
        <v>281.71423901870298</v>
      </c>
      <c r="K425" s="307">
        <f t="shared" ca="1" si="189"/>
        <v>1383.4235833779983</v>
      </c>
      <c r="L425" s="304">
        <f t="shared" ca="1" si="174"/>
        <v>1411.8157540955224</v>
      </c>
      <c r="M425" s="306">
        <f t="shared" ca="1" si="190"/>
        <v>1.3421480391757745</v>
      </c>
      <c r="N425" s="304">
        <f t="shared" ca="1" si="191"/>
        <v>76.899418126530946</v>
      </c>
      <c r="P425" s="310">
        <f t="shared" ca="1" si="192"/>
        <v>23</v>
      </c>
      <c r="Q425" s="304">
        <f t="shared" ca="1" si="193"/>
        <v>0</v>
      </c>
      <c r="R425" s="306">
        <f t="shared" ca="1" si="194"/>
        <v>0</v>
      </c>
      <c r="S425" s="307">
        <f t="shared" ca="1" si="195"/>
        <v>4.9929999999999914</v>
      </c>
      <c r="T425" s="304">
        <f t="shared" ca="1" si="175"/>
        <v>48.981329999999922</v>
      </c>
      <c r="U425" s="311">
        <f t="shared" ca="1" si="176"/>
        <v>0</v>
      </c>
      <c r="V425" s="306">
        <f t="shared" ca="1" si="177"/>
        <v>1.0664946153940116</v>
      </c>
      <c r="W425" s="304">
        <f t="shared" ca="1" si="178"/>
        <v>98.230749332545727</v>
      </c>
      <c r="Y425" s="314" t="str">
        <f t="shared" ca="1" si="196"/>
        <v/>
      </c>
      <c r="Z425" s="315" t="str">
        <f t="shared" ca="1" si="197"/>
        <v/>
      </c>
      <c r="AA425" s="316" t="str">
        <f t="shared" ca="1" si="198"/>
        <v/>
      </c>
      <c r="AC425" s="310" t="e">
        <f t="shared" ca="1" si="199"/>
        <v>#N/A</v>
      </c>
      <c r="AD425" s="323" t="e">
        <f t="shared" ca="1" si="200"/>
        <v>#N/A</v>
      </c>
      <c r="AE425" s="324">
        <f t="shared" ca="1" si="179"/>
        <v>1383.4235833779983</v>
      </c>
      <c r="AG425" s="306">
        <f t="shared" ca="1" si="201"/>
        <v>-29.971330852854493</v>
      </c>
      <c r="AH425" s="304">
        <f t="shared" ca="1" si="202"/>
        <v>-20.413739571259001</v>
      </c>
    </row>
    <row r="426" spans="1:34" x14ac:dyDescent="0.2">
      <c r="A426" s="347">
        <f t="shared" ca="1" si="180"/>
        <v>0.1</v>
      </c>
      <c r="B426" s="304">
        <f t="shared" ca="1" si="181"/>
        <v>6.1999999999999513</v>
      </c>
      <c r="D426" s="306">
        <f t="shared" ca="1" si="182"/>
        <v>-4.4592628474171354</v>
      </c>
      <c r="E426" s="307">
        <f t="shared" ca="1" si="183"/>
        <v>-28.971658919893379</v>
      </c>
      <c r="F426" s="304">
        <f t="shared" ca="1" si="184"/>
        <v>29.312830735242756</v>
      </c>
      <c r="G426" s="306">
        <f t="shared" ca="1" si="185"/>
        <v>37.744136007510811</v>
      </c>
      <c r="H426" s="307">
        <f t="shared" ca="1" si="186"/>
        <v>161.2072999834599</v>
      </c>
      <c r="I426" s="304">
        <f t="shared" ca="1" si="187"/>
        <v>165.56694528471166</v>
      </c>
      <c r="J426" s="306">
        <f t="shared" ca="1" si="188"/>
        <v>285.51094893369117</v>
      </c>
      <c r="K426" s="307">
        <f t="shared" ca="1" si="189"/>
        <v>1399.6891716709438</v>
      </c>
      <c r="L426" s="304">
        <f t="shared" ca="1" si="174"/>
        <v>1428.5119107847543</v>
      </c>
      <c r="M426" s="306">
        <f t="shared" ca="1" si="190"/>
        <v>1.3408050494719703</v>
      </c>
      <c r="N426" s="304">
        <f t="shared" ca="1" si="191"/>
        <v>76.822470484573444</v>
      </c>
      <c r="P426" s="310">
        <f t="shared" ca="1" si="192"/>
        <v>23</v>
      </c>
      <c r="Q426" s="304">
        <f t="shared" ca="1" si="193"/>
        <v>0</v>
      </c>
      <c r="R426" s="306">
        <f t="shared" ca="1" si="194"/>
        <v>0</v>
      </c>
      <c r="S426" s="307">
        <f t="shared" ca="1" si="195"/>
        <v>4.9929999999999914</v>
      </c>
      <c r="T426" s="304">
        <f t="shared" ca="1" si="175"/>
        <v>48.981329999999922</v>
      </c>
      <c r="U426" s="311">
        <f t="shared" ca="1" si="176"/>
        <v>0</v>
      </c>
      <c r="V426" s="306">
        <f t="shared" ca="1" si="177"/>
        <v>1.0647528841150899</v>
      </c>
      <c r="W426" s="304">
        <f t="shared" ca="1" si="178"/>
        <v>94.697500538854371</v>
      </c>
      <c r="Y426" s="314" t="str">
        <f t="shared" ca="1" si="196"/>
        <v/>
      </c>
      <c r="Z426" s="315" t="str">
        <f t="shared" ca="1" si="197"/>
        <v/>
      </c>
      <c r="AA426" s="316" t="str">
        <f t="shared" ca="1" si="198"/>
        <v/>
      </c>
      <c r="AC426" s="310" t="e">
        <f t="shared" ca="1" si="199"/>
        <v>#N/A</v>
      </c>
      <c r="AD426" s="323" t="e">
        <f t="shared" ca="1" si="200"/>
        <v>#N/A</v>
      </c>
      <c r="AE426" s="324">
        <f t="shared" ca="1" si="179"/>
        <v>1399.6891716709438</v>
      </c>
      <c r="AG426" s="306">
        <f t="shared" ca="1" si="201"/>
        <v>-29.22837469479596</v>
      </c>
      <c r="AH426" s="304">
        <f t="shared" ca="1" si="202"/>
        <v>-19.673693036760643</v>
      </c>
    </row>
    <row r="427" spans="1:34" x14ac:dyDescent="0.2">
      <c r="A427" s="347">
        <f t="shared" ca="1" si="180"/>
        <v>0.1</v>
      </c>
      <c r="B427" s="304">
        <f t="shared" ca="1" si="181"/>
        <v>6.299999999999951</v>
      </c>
      <c r="D427" s="306">
        <f t="shared" ca="1" si="182"/>
        <v>-4.3236726203191784</v>
      </c>
      <c r="E427" s="307">
        <f t="shared" ca="1" si="183"/>
        <v>-28.276645759101925</v>
      </c>
      <c r="F427" s="304">
        <f t="shared" ca="1" si="184"/>
        <v>28.605293921115976</v>
      </c>
      <c r="G427" s="306">
        <f t="shared" ca="1" si="185"/>
        <v>37.311768745478894</v>
      </c>
      <c r="H427" s="307">
        <f t="shared" ca="1" si="186"/>
        <v>158.3796354075497</v>
      </c>
      <c r="I427" s="304">
        <f t="shared" ca="1" si="187"/>
        <v>162.71532502731409</v>
      </c>
      <c r="J427" s="306">
        <f t="shared" ca="1" si="188"/>
        <v>289.26374417134065</v>
      </c>
      <c r="K427" s="307">
        <f t="shared" ca="1" si="189"/>
        <v>1415.6685184404942</v>
      </c>
      <c r="L427" s="304">
        <f t="shared" ca="1" si="174"/>
        <v>1444.9189831251877</v>
      </c>
      <c r="M427" s="306">
        <f t="shared" ca="1" si="190"/>
        <v>1.3394306387375188</v>
      </c>
      <c r="N427" s="304">
        <f t="shared" ca="1" si="191"/>
        <v>76.743722550171896</v>
      </c>
      <c r="P427" s="310">
        <f t="shared" ca="1" si="192"/>
        <v>23</v>
      </c>
      <c r="Q427" s="304">
        <f t="shared" ca="1" si="193"/>
        <v>0</v>
      </c>
      <c r="R427" s="306">
        <f t="shared" ca="1" si="194"/>
        <v>0</v>
      </c>
      <c r="S427" s="307">
        <f t="shared" ca="1" si="195"/>
        <v>4.9929999999999914</v>
      </c>
      <c r="T427" s="304">
        <f t="shared" ca="1" si="175"/>
        <v>48.981329999999922</v>
      </c>
      <c r="U427" s="311">
        <f t="shared" ca="1" si="176"/>
        <v>0</v>
      </c>
      <c r="V427" s="306">
        <f t="shared" ca="1" si="177"/>
        <v>1.0630443801139029</v>
      </c>
      <c r="W427" s="304">
        <f t="shared" ca="1" si="178"/>
        <v>91.316809833488435</v>
      </c>
      <c r="Y427" s="314" t="str">
        <f t="shared" ca="1" si="196"/>
        <v/>
      </c>
      <c r="Z427" s="315" t="str">
        <f t="shared" ca="1" si="197"/>
        <v/>
      </c>
      <c r="AA427" s="316" t="str">
        <f t="shared" ca="1" si="198"/>
        <v/>
      </c>
      <c r="AC427" s="310" t="e">
        <f t="shared" ca="1" si="199"/>
        <v>#N/A</v>
      </c>
      <c r="AD427" s="323" t="e">
        <f t="shared" ca="1" si="200"/>
        <v>#N/A</v>
      </c>
      <c r="AE427" s="324">
        <f t="shared" ca="1" si="179"/>
        <v>1415.6685184404942</v>
      </c>
      <c r="AG427" s="306">
        <f t="shared" ca="1" si="201"/>
        <v>-28.517739423938259</v>
      </c>
      <c r="AH427" s="304">
        <f t="shared" ca="1" si="202"/>
        <v>-18.966052581384844</v>
      </c>
    </row>
    <row r="428" spans="1:34" x14ac:dyDescent="0.2">
      <c r="A428" s="347">
        <f t="shared" ca="1" si="180"/>
        <v>0.1</v>
      </c>
      <c r="B428" s="304">
        <f t="shared" ca="1" si="181"/>
        <v>6.3999999999999506</v>
      </c>
      <c r="D428" s="306">
        <f t="shared" ca="1" si="182"/>
        <v>-4.193788687494461</v>
      </c>
      <c r="E428" s="307">
        <f t="shared" ca="1" si="183"/>
        <v>-27.611641295339616</v>
      </c>
      <c r="F428" s="304">
        <f t="shared" ca="1" si="184"/>
        <v>27.928311774574926</v>
      </c>
      <c r="G428" s="306">
        <f t="shared" ca="1" si="185"/>
        <v>36.892389876729446</v>
      </c>
      <c r="H428" s="307">
        <f t="shared" ca="1" si="186"/>
        <v>155.61847127801573</v>
      </c>
      <c r="I428" s="304">
        <f t="shared" ca="1" si="187"/>
        <v>159.93172616377032</v>
      </c>
      <c r="J428" s="306">
        <f t="shared" ca="1" si="188"/>
        <v>292.97395210245105</v>
      </c>
      <c r="K428" s="307">
        <f t="shared" ca="1" si="189"/>
        <v>1431.3684237747725</v>
      </c>
      <c r="L428" s="304">
        <f t="shared" ca="1" si="174"/>
        <v>1461.043908029463</v>
      </c>
      <c r="M428" s="306">
        <f t="shared" ca="1" si="190"/>
        <v>1.3380240993285504</v>
      </c>
      <c r="N428" s="304">
        <f t="shared" ca="1" si="191"/>
        <v>76.663133778319178</v>
      </c>
      <c r="P428" s="310">
        <f t="shared" ca="1" si="192"/>
        <v>23</v>
      </c>
      <c r="Q428" s="304">
        <f t="shared" ca="1" si="193"/>
        <v>0</v>
      </c>
      <c r="R428" s="306">
        <f t="shared" ca="1" si="194"/>
        <v>0</v>
      </c>
      <c r="S428" s="307">
        <f t="shared" ca="1" si="195"/>
        <v>4.9929999999999914</v>
      </c>
      <c r="T428" s="304">
        <f t="shared" ca="1" si="175"/>
        <v>48.981329999999922</v>
      </c>
      <c r="U428" s="311">
        <f t="shared" ca="1" si="176"/>
        <v>0</v>
      </c>
      <c r="V428" s="306">
        <f t="shared" ca="1" si="177"/>
        <v>1.0613682351539493</v>
      </c>
      <c r="W428" s="304">
        <f t="shared" ca="1" si="178"/>
        <v>88.080090893245256</v>
      </c>
      <c r="Y428" s="314" t="str">
        <f t="shared" ca="1" si="196"/>
        <v/>
      </c>
      <c r="Z428" s="315" t="str">
        <f t="shared" ca="1" si="197"/>
        <v/>
      </c>
      <c r="AA428" s="316" t="str">
        <f t="shared" ca="1" si="198"/>
        <v/>
      </c>
      <c r="AC428" s="310" t="e">
        <f t="shared" ca="1" si="199"/>
        <v>#N/A</v>
      </c>
      <c r="AD428" s="323" t="e">
        <f t="shared" ca="1" si="200"/>
        <v>#N/A</v>
      </c>
      <c r="AE428" s="324">
        <f t="shared" ca="1" si="179"/>
        <v>1431.3684237747725</v>
      </c>
      <c r="AG428" s="306">
        <f t="shared" ca="1" si="201"/>
        <v>-27.837570642315175</v>
      </c>
      <c r="AH428" s="304">
        <f t="shared" ca="1" si="202"/>
        <v>-18.288966519825475</v>
      </c>
    </row>
    <row r="429" spans="1:34" x14ac:dyDescent="0.2">
      <c r="A429" s="347">
        <f t="shared" ca="1" si="180"/>
        <v>0.1</v>
      </c>
      <c r="B429" s="304">
        <f t="shared" ca="1" si="181"/>
        <v>6.4999999999999503</v>
      </c>
      <c r="D429" s="306">
        <f t="shared" ca="1" si="182"/>
        <v>-4.0692872998495417</v>
      </c>
      <c r="E429" s="307">
        <f t="shared" ca="1" si="183"/>
        <v>-26.974956537366204</v>
      </c>
      <c r="F429" s="304">
        <f t="shared" ca="1" si="184"/>
        <v>27.28016457651076</v>
      </c>
      <c r="G429" s="306">
        <f t="shared" ca="1" si="185"/>
        <v>36.485461146744491</v>
      </c>
      <c r="H429" s="307">
        <f t="shared" ca="1" si="186"/>
        <v>152.92097562427912</v>
      </c>
      <c r="I429" s="304">
        <f t="shared" ca="1" si="187"/>
        <v>157.21327444262451</v>
      </c>
      <c r="J429" s="306">
        <f t="shared" ca="1" si="188"/>
        <v>296.64284465362476</v>
      </c>
      <c r="K429" s="307">
        <f t="shared" ca="1" si="189"/>
        <v>1446.7953961198873</v>
      </c>
      <c r="L429" s="304">
        <f t="shared" ca="1" si="174"/>
        <v>1476.8933257070044</v>
      </c>
      <c r="M429" s="306">
        <f t="shared" ca="1" si="190"/>
        <v>1.336584697304722</v>
      </c>
      <c r="N429" s="304">
        <f t="shared" ca="1" si="191"/>
        <v>76.580662117331229</v>
      </c>
      <c r="P429" s="310">
        <f t="shared" ca="1" si="192"/>
        <v>23</v>
      </c>
      <c r="Q429" s="304">
        <f t="shared" ca="1" si="193"/>
        <v>0</v>
      </c>
      <c r="R429" s="306">
        <f t="shared" ca="1" si="194"/>
        <v>0</v>
      </c>
      <c r="S429" s="307">
        <f t="shared" ca="1" si="195"/>
        <v>4.9929999999999914</v>
      </c>
      <c r="T429" s="304">
        <f t="shared" ca="1" si="175"/>
        <v>48.981329999999922</v>
      </c>
      <c r="U429" s="311">
        <f t="shared" ca="1" si="176"/>
        <v>0</v>
      </c>
      <c r="V429" s="306">
        <f t="shared" ca="1" si="177"/>
        <v>1.0597236193088775</v>
      </c>
      <c r="W429" s="304">
        <f t="shared" ca="1" si="178"/>
        <v>84.97936071110054</v>
      </c>
      <c r="Y429" s="314" t="str">
        <f t="shared" ca="1" si="196"/>
        <v/>
      </c>
      <c r="Z429" s="315" t="str">
        <f t="shared" ca="1" si="197"/>
        <v/>
      </c>
      <c r="AA429" s="316" t="str">
        <f t="shared" ca="1" si="198"/>
        <v/>
      </c>
      <c r="AC429" s="310" t="e">
        <f t="shared" ca="1" si="199"/>
        <v>#N/A</v>
      </c>
      <c r="AD429" s="323" t="e">
        <f t="shared" ca="1" si="200"/>
        <v>#N/A</v>
      </c>
      <c r="AE429" s="324">
        <f t="shared" ca="1" si="179"/>
        <v>1446.7953961198873</v>
      </c>
      <c r="AG429" s="306">
        <f t="shared" ca="1" si="201"/>
        <v>-27.18614584494658</v>
      </c>
      <c r="AH429" s="304">
        <f t="shared" ca="1" si="202"/>
        <v>-17.640715179900944</v>
      </c>
    </row>
    <row r="430" spans="1:34" x14ac:dyDescent="0.2">
      <c r="A430" s="347">
        <f t="shared" ca="1" si="180"/>
        <v>0.1</v>
      </c>
      <c r="B430" s="304">
        <f t="shared" ca="1" si="181"/>
        <v>6.5999999999999499</v>
      </c>
      <c r="D430" s="306">
        <f t="shared" ca="1" si="182"/>
        <v>-3.9498674341061299</v>
      </c>
      <c r="E430" s="307">
        <f t="shared" ca="1" si="183"/>
        <v>-26.365021168040585</v>
      </c>
      <c r="F430" s="304">
        <f t="shared" ca="1" si="184"/>
        <v>26.659253439251451</v>
      </c>
      <c r="G430" s="306">
        <f t="shared" ca="1" si="185"/>
        <v>36.090474403333879</v>
      </c>
      <c r="H430" s="307">
        <f t="shared" ca="1" si="186"/>
        <v>150.28447350747507</v>
      </c>
      <c r="I430" s="304">
        <f t="shared" ca="1" si="187"/>
        <v>154.55725579886789</v>
      </c>
      <c r="J430" s="306">
        <f t="shared" ca="1" si="188"/>
        <v>300.27164143112867</v>
      </c>
      <c r="K430" s="307">
        <f t="shared" ca="1" si="189"/>
        <v>1461.9556685764751</v>
      </c>
      <c r="L430" s="304">
        <f t="shared" ca="1" si="174"/>
        <v>1492.4735962591208</v>
      </c>
      <c r="M430" s="306">
        <f t="shared" ca="1" si="190"/>
        <v>1.3351116713717732</v>
      </c>
      <c r="N430" s="304">
        <f t="shared" ca="1" si="191"/>
        <v>76.496263948259937</v>
      </c>
      <c r="P430" s="310">
        <f t="shared" ca="1" si="192"/>
        <v>23</v>
      </c>
      <c r="Q430" s="304">
        <f t="shared" ca="1" si="193"/>
        <v>0</v>
      </c>
      <c r="R430" s="306">
        <f t="shared" ca="1" si="194"/>
        <v>0</v>
      </c>
      <c r="S430" s="307">
        <f t="shared" ca="1" si="195"/>
        <v>4.9929999999999914</v>
      </c>
      <c r="T430" s="304">
        <f t="shared" ca="1" si="175"/>
        <v>48.981329999999922</v>
      </c>
      <c r="U430" s="311">
        <f t="shared" ca="1" si="176"/>
        <v>0</v>
      </c>
      <c r="V430" s="306">
        <f t="shared" ca="1" si="177"/>
        <v>1.0581097387710736</v>
      </c>
      <c r="W430" s="304">
        <f t="shared" ca="1" si="178"/>
        <v>82.007189232328315</v>
      </c>
      <c r="Y430" s="314" t="str">
        <f t="shared" ca="1" si="196"/>
        <v/>
      </c>
      <c r="Z430" s="315" t="str">
        <f t="shared" ca="1" si="197"/>
        <v/>
      </c>
      <c r="AA430" s="316" t="str">
        <f t="shared" ca="1" si="198"/>
        <v/>
      </c>
      <c r="AC430" s="310" t="e">
        <f t="shared" ca="1" si="199"/>
        <v>#N/A</v>
      </c>
      <c r="AD430" s="323" t="e">
        <f t="shared" ca="1" si="200"/>
        <v>#N/A</v>
      </c>
      <c r="AE430" s="324">
        <f t="shared" ca="1" si="179"/>
        <v>1461.9556685764751</v>
      </c>
      <c r="AG430" s="306">
        <f t="shared" ca="1" si="201"/>
        <v>-26.561863233103821</v>
      </c>
      <c r="AH430" s="304">
        <f t="shared" ca="1" si="202"/>
        <v>-17.019699721830701</v>
      </c>
    </row>
    <row r="431" spans="1:34" x14ac:dyDescent="0.2">
      <c r="A431" s="347">
        <f t="shared" ca="1" si="180"/>
        <v>0.1</v>
      </c>
      <c r="B431" s="304">
        <f t="shared" ca="1" si="181"/>
        <v>6.6999999999999496</v>
      </c>
      <c r="D431" s="306">
        <f t="shared" ca="1" si="182"/>
        <v>-3.8352488951375179</v>
      </c>
      <c r="E431" s="307">
        <f t="shared" ca="1" si="183"/>
        <v>-25.780373637499881</v>
      </c>
      <c r="F431" s="304">
        <f t="shared" ca="1" si="184"/>
        <v>26.064090219625015</v>
      </c>
      <c r="G431" s="306">
        <f t="shared" ca="1" si="185"/>
        <v>35.706949513820128</v>
      </c>
      <c r="H431" s="307">
        <f t="shared" ca="1" si="186"/>
        <v>147.70643614372509</v>
      </c>
      <c r="I431" s="304">
        <f t="shared" ca="1" si="187"/>
        <v>151.96110529297567</v>
      </c>
      <c r="J431" s="306">
        <f t="shared" ca="1" si="188"/>
        <v>303.86151262698638</v>
      </c>
      <c r="K431" s="307">
        <f t="shared" ca="1" si="189"/>
        <v>1476.855214059035</v>
      </c>
      <c r="L431" s="304">
        <f t="shared" ca="1" si="174"/>
        <v>1507.7908151163804</v>
      </c>
      <c r="M431" s="306">
        <f t="shared" ca="1" si="190"/>
        <v>1.3336042317685539</v>
      </c>
      <c r="N431" s="304">
        <f t="shared" ca="1" si="191"/>
        <v>76.4098940211246</v>
      </c>
      <c r="P431" s="310">
        <f t="shared" ca="1" si="192"/>
        <v>23</v>
      </c>
      <c r="Q431" s="304">
        <f t="shared" ca="1" si="193"/>
        <v>0</v>
      </c>
      <c r="R431" s="306">
        <f t="shared" ca="1" si="194"/>
        <v>0</v>
      </c>
      <c r="S431" s="307">
        <f t="shared" ca="1" si="195"/>
        <v>4.9929999999999914</v>
      </c>
      <c r="T431" s="304">
        <f t="shared" ca="1" si="175"/>
        <v>48.981329999999922</v>
      </c>
      <c r="U431" s="311">
        <f t="shared" ca="1" si="176"/>
        <v>0</v>
      </c>
      <c r="V431" s="306">
        <f t="shared" ca="1" si="177"/>
        <v>1.0565258338159278</v>
      </c>
      <c r="W431" s="304">
        <f t="shared" ca="1" si="178"/>
        <v>79.156653848113137</v>
      </c>
      <c r="Y431" s="314" t="str">
        <f t="shared" ca="1" si="196"/>
        <v/>
      </c>
      <c r="Z431" s="315" t="str">
        <f t="shared" ca="1" si="197"/>
        <v/>
      </c>
      <c r="AA431" s="316" t="str">
        <f t="shared" ca="1" si="198"/>
        <v/>
      </c>
      <c r="AC431" s="310" t="e">
        <f t="shared" ca="1" si="199"/>
        <v>#N/A</v>
      </c>
      <c r="AD431" s="323" t="e">
        <f t="shared" ca="1" si="200"/>
        <v>#N/A</v>
      </c>
      <c r="AE431" s="324">
        <f t="shared" ca="1" si="179"/>
        <v>1476.855214059035</v>
      </c>
      <c r="AG431" s="306">
        <f t="shared" ca="1" si="201"/>
        <v>-25.963231621038062</v>
      </c>
      <c r="AH431" s="304">
        <f t="shared" ca="1" si="202"/>
        <v>-16.424432051337565</v>
      </c>
    </row>
    <row r="432" spans="1:34" x14ac:dyDescent="0.2">
      <c r="A432" s="347">
        <f t="shared" ca="1" si="180"/>
        <v>0.1</v>
      </c>
      <c r="B432" s="304">
        <f t="shared" ca="1" si="181"/>
        <v>6.7999999999999492</v>
      </c>
      <c r="D432" s="306">
        <f t="shared" ca="1" si="182"/>
        <v>-3.7251706013515737</v>
      </c>
      <c r="E432" s="307">
        <f t="shared" ca="1" si="183"/>
        <v>-25.219652211820978</v>
      </c>
      <c r="F432" s="304">
        <f t="shared" ca="1" si="184"/>
        <v>25.493288404879838</v>
      </c>
      <c r="G432" s="306">
        <f t="shared" ca="1" si="185"/>
        <v>35.334432453684968</v>
      </c>
      <c r="H432" s="307">
        <f t="shared" ca="1" si="186"/>
        <v>145.184470922543</v>
      </c>
      <c r="I432" s="304">
        <f t="shared" ca="1" si="187"/>
        <v>149.42239696204433</v>
      </c>
      <c r="J432" s="306">
        <f t="shared" ca="1" si="188"/>
        <v>307.41358172536161</v>
      </c>
      <c r="K432" s="307">
        <f t="shared" ca="1" si="189"/>
        <v>1491.4997594123483</v>
      </c>
      <c r="L432" s="304">
        <f t="shared" ca="1" si="174"/>
        <v>1522.8508274142641</v>
      </c>
      <c r="M432" s="306">
        <f t="shared" ca="1" si="190"/>
        <v>1.3320615590953948</v>
      </c>
      <c r="N432" s="304">
        <f t="shared" ca="1" si="191"/>
        <v>76.321505387782423</v>
      </c>
      <c r="P432" s="310">
        <f t="shared" ca="1" si="192"/>
        <v>23</v>
      </c>
      <c r="Q432" s="304">
        <f t="shared" ca="1" si="193"/>
        <v>0</v>
      </c>
      <c r="R432" s="306">
        <f t="shared" ca="1" si="194"/>
        <v>0</v>
      </c>
      <c r="S432" s="307">
        <f t="shared" ca="1" si="195"/>
        <v>4.9929999999999914</v>
      </c>
      <c r="T432" s="304">
        <f t="shared" ca="1" si="175"/>
        <v>48.981329999999922</v>
      </c>
      <c r="U432" s="311">
        <f t="shared" ca="1" si="176"/>
        <v>0</v>
      </c>
      <c r="V432" s="306">
        <f t="shared" ca="1" si="177"/>
        <v>1.0549711769086807</v>
      </c>
      <c r="W432" s="304">
        <f t="shared" ca="1" si="178"/>
        <v>76.421298216972474</v>
      </c>
      <c r="Y432" s="314" t="str">
        <f t="shared" ca="1" si="196"/>
        <v/>
      </c>
      <c r="Z432" s="315" t="str">
        <f t="shared" ca="1" si="197"/>
        <v/>
      </c>
      <c r="AA432" s="316" t="str">
        <f t="shared" ca="1" si="198"/>
        <v/>
      </c>
      <c r="AC432" s="310" t="e">
        <f t="shared" ca="1" si="199"/>
        <v>#N/A</v>
      </c>
      <c r="AD432" s="323" t="e">
        <f t="shared" ca="1" si="200"/>
        <v>#N/A</v>
      </c>
      <c r="AE432" s="324">
        <f t="shared" ca="1" si="179"/>
        <v>1491.4997594123483</v>
      </c>
      <c r="AG432" s="306">
        <f t="shared" ca="1" si="201"/>
        <v>-25.388861315181934</v>
      </c>
      <c r="AH432" s="304">
        <f t="shared" ca="1" si="202"/>
        <v>-15.85352570561051</v>
      </c>
    </row>
    <row r="433" spans="1:34" x14ac:dyDescent="0.2">
      <c r="A433" s="347">
        <f t="shared" ca="1" si="180"/>
        <v>0.1</v>
      </c>
      <c r="B433" s="304">
        <f t="shared" ca="1" si="181"/>
        <v>6.8999999999999488</v>
      </c>
      <c r="D433" s="306">
        <f t="shared" ca="1" si="182"/>
        <v>-3.6193890331601715</v>
      </c>
      <c r="E433" s="307">
        <f t="shared" ca="1" si="183"/>
        <v>-24.681586872974169</v>
      </c>
      <c r="F433" s="304">
        <f t="shared" ca="1" si="184"/>
        <v>24.945554865376934</v>
      </c>
      <c r="G433" s="306">
        <f t="shared" ca="1" si="185"/>
        <v>34.972493550368952</v>
      </c>
      <c r="H433" s="307">
        <f t="shared" ca="1" si="186"/>
        <v>142.7163122352456</v>
      </c>
      <c r="I433" s="304">
        <f t="shared" ca="1" si="187"/>
        <v>146.93883449639415</v>
      </c>
      <c r="J433" s="306">
        <f t="shared" ca="1" si="188"/>
        <v>310.92892802556429</v>
      </c>
      <c r="K433" s="307">
        <f t="shared" ca="1" si="189"/>
        <v>1505.8947985702378</v>
      </c>
      <c r="L433" s="304">
        <f t="shared" ca="1" si="174"/>
        <v>1537.659241393887</v>
      </c>
      <c r="M433" s="306">
        <f t="shared" ca="1" si="190"/>
        <v>1.3304828030804832</v>
      </c>
      <c r="N433" s="304">
        <f t="shared" ca="1" si="191"/>
        <v>76.231049331247092</v>
      </c>
      <c r="P433" s="310">
        <f t="shared" ca="1" si="192"/>
        <v>23</v>
      </c>
      <c r="Q433" s="304">
        <f t="shared" ca="1" si="193"/>
        <v>0</v>
      </c>
      <c r="R433" s="306">
        <f t="shared" ca="1" si="194"/>
        <v>0</v>
      </c>
      <c r="S433" s="307">
        <f t="shared" ca="1" si="195"/>
        <v>4.9929999999999914</v>
      </c>
      <c r="T433" s="304">
        <f t="shared" ca="1" si="175"/>
        <v>48.981329999999922</v>
      </c>
      <c r="U433" s="311">
        <f t="shared" ca="1" si="176"/>
        <v>0</v>
      </c>
      <c r="V433" s="306">
        <f t="shared" ca="1" si="177"/>
        <v>1.0534450709420211</v>
      </c>
      <c r="W433" s="304">
        <f t="shared" ca="1" si="178"/>
        <v>73.795094948567765</v>
      </c>
      <c r="Y433" s="314" t="str">
        <f t="shared" ca="1" si="196"/>
        <v/>
      </c>
      <c r="Z433" s="315" t="str">
        <f t="shared" ca="1" si="197"/>
        <v/>
      </c>
      <c r="AA433" s="316" t="str">
        <f t="shared" ca="1" si="198"/>
        <v/>
      </c>
      <c r="AC433" s="310" t="e">
        <f t="shared" ca="1" si="199"/>
        <v>#N/A</v>
      </c>
      <c r="AD433" s="323" t="e">
        <f t="shared" ca="1" si="200"/>
        <v>#N/A</v>
      </c>
      <c r="AE433" s="324">
        <f t="shared" ca="1" si="179"/>
        <v>1505.8947985702378</v>
      </c>
      <c r="AG433" s="306">
        <f t="shared" ca="1" si="201"/>
        <v>-24.837455859713355</v>
      </c>
      <c r="AH433" s="304">
        <f t="shared" ca="1" si="202"/>
        <v>-15.305687606042982</v>
      </c>
    </row>
    <row r="434" spans="1:34" x14ac:dyDescent="0.2">
      <c r="A434" s="347">
        <f t="shared" ca="1" si="180"/>
        <v>0.1</v>
      </c>
      <c r="B434" s="304">
        <f t="shared" ca="1" si="181"/>
        <v>6.9999999999999485</v>
      </c>
      <c r="D434" s="306">
        <f t="shared" ca="1" si="182"/>
        <v>-3.5176768269966541</v>
      </c>
      <c r="E434" s="307">
        <f t="shared" ca="1" si="183"/>
        <v>-24.164991978518682</v>
      </c>
      <c r="F434" s="304">
        <f t="shared" ca="1" si="184"/>
        <v>24.419682380839056</v>
      </c>
      <c r="G434" s="306">
        <f t="shared" ca="1" si="185"/>
        <v>34.620725867669286</v>
      </c>
      <c r="H434" s="307">
        <f t="shared" ca="1" si="186"/>
        <v>140.29981303739373</v>
      </c>
      <c r="I434" s="304">
        <f t="shared" ca="1" si="187"/>
        <v>144.50824266432673</v>
      </c>
      <c r="J434" s="306">
        <f t="shared" ca="1" si="188"/>
        <v>314.40858899646622</v>
      </c>
      <c r="K434" s="307">
        <f t="shared" ca="1" si="189"/>
        <v>1520.0456048338697</v>
      </c>
      <c r="L434" s="304">
        <f t="shared" ca="1" si="174"/>
        <v>1552.2214409063913</v>
      </c>
      <c r="M434" s="306">
        <f t="shared" ca="1" si="190"/>
        <v>1.328867081280676</v>
      </c>
      <c r="N434" s="304">
        <f t="shared" ca="1" si="191"/>
        <v>76.138475291250856</v>
      </c>
      <c r="P434" s="310">
        <f t="shared" ca="1" si="192"/>
        <v>23</v>
      </c>
      <c r="Q434" s="304">
        <f t="shared" ca="1" si="193"/>
        <v>0</v>
      </c>
      <c r="R434" s="306">
        <f t="shared" ca="1" si="194"/>
        <v>0</v>
      </c>
      <c r="S434" s="307">
        <f t="shared" ca="1" si="195"/>
        <v>4.9929999999999914</v>
      </c>
      <c r="T434" s="304">
        <f t="shared" ca="1" si="175"/>
        <v>48.981329999999922</v>
      </c>
      <c r="U434" s="311">
        <f t="shared" ca="1" si="176"/>
        <v>0</v>
      </c>
      <c r="V434" s="306">
        <f t="shared" ca="1" si="177"/>
        <v>1.0519468475937399</v>
      </c>
      <c r="W434" s="304">
        <f t="shared" ca="1" si="178"/>
        <v>71.272411740179649</v>
      </c>
      <c r="Y434" s="314" t="str">
        <f t="shared" ca="1" si="196"/>
        <v/>
      </c>
      <c r="Z434" s="315" t="str">
        <f t="shared" ca="1" si="197"/>
        <v/>
      </c>
      <c r="AA434" s="316" t="str">
        <f t="shared" ca="1" si="198"/>
        <v/>
      </c>
      <c r="AC434" s="310">
        <f t="shared" ca="1" si="199"/>
        <v>6.9999999999999485</v>
      </c>
      <c r="AD434" s="323">
        <f t="shared" ca="1" si="200"/>
        <v>314.40858899646622</v>
      </c>
      <c r="AE434" s="324">
        <f t="shared" ca="1" si="179"/>
        <v>1520.0456048338697</v>
      </c>
      <c r="AG434" s="306">
        <f t="shared" ca="1" si="201"/>
        <v>-24.307804555238601</v>
      </c>
      <c r="AH434" s="304">
        <f t="shared" ca="1" si="202"/>
        <v>-14.779710584531923</v>
      </c>
    </row>
    <row r="435" spans="1:34" x14ac:dyDescent="0.2">
      <c r="A435" s="347">
        <f t="shared" ca="1" si="180"/>
        <v>0.1</v>
      </c>
      <c r="B435" s="304">
        <f t="shared" ca="1" si="181"/>
        <v>7.0999999999999481</v>
      </c>
      <c r="D435" s="306">
        <f t="shared" ca="1" si="182"/>
        <v>-3.4198214994419414</v>
      </c>
      <c r="E435" s="307">
        <f t="shared" ca="1" si="183"/>
        <v>-23.668759600445792</v>
      </c>
      <c r="F435" s="304">
        <f t="shared" ca="1" si="184"/>
        <v>23.91454285809662</v>
      </c>
      <c r="G435" s="306">
        <f t="shared" ca="1" si="185"/>
        <v>34.278743717725092</v>
      </c>
      <c r="H435" s="307">
        <f t="shared" ca="1" si="186"/>
        <v>137.93293707734915</v>
      </c>
      <c r="I435" s="304">
        <f t="shared" ca="1" si="187"/>
        <v>142.12855941593668</v>
      </c>
      <c r="J435" s="306">
        <f t="shared" ca="1" si="188"/>
        <v>317.85356247573594</v>
      </c>
      <c r="K435" s="307">
        <f t="shared" ca="1" si="189"/>
        <v>1533.9572423396069</v>
      </c>
      <c r="L435" s="304">
        <f t="shared" ca="1" si="174"/>
        <v>1566.5425970922872</v>
      </c>
      <c r="M435" s="306">
        <f t="shared" ca="1" si="190"/>
        <v>1.3272134777129452</v>
      </c>
      <c r="N435" s="304">
        <f t="shared" ca="1" si="191"/>
        <v>76.043730785832111</v>
      </c>
      <c r="P435" s="310">
        <f t="shared" ca="1" si="192"/>
        <v>23</v>
      </c>
      <c r="Q435" s="304">
        <f t="shared" ca="1" si="193"/>
        <v>0</v>
      </c>
      <c r="R435" s="306">
        <f t="shared" ca="1" si="194"/>
        <v>0</v>
      </c>
      <c r="S435" s="307">
        <f t="shared" ca="1" si="195"/>
        <v>4.9929999999999914</v>
      </c>
      <c r="T435" s="304">
        <f t="shared" ca="1" si="175"/>
        <v>48.981329999999922</v>
      </c>
      <c r="U435" s="311">
        <f t="shared" ca="1" si="176"/>
        <v>0</v>
      </c>
      <c r="V435" s="306">
        <f t="shared" ca="1" si="177"/>
        <v>1.0504758657947575</v>
      </c>
      <c r="W435" s="304">
        <f t="shared" ca="1" si="178"/>
        <v>68.847980604496271</v>
      </c>
      <c r="Y435" s="314" t="str">
        <f t="shared" ca="1" si="196"/>
        <v/>
      </c>
      <c r="Z435" s="315" t="str">
        <f t="shared" ca="1" si="197"/>
        <v/>
      </c>
      <c r="AA435" s="316" t="str">
        <f t="shared" ca="1" si="198"/>
        <v/>
      </c>
      <c r="AC435" s="310" t="e">
        <f t="shared" ca="1" si="199"/>
        <v>#N/A</v>
      </c>
      <c r="AD435" s="323" t="e">
        <f t="shared" ca="1" si="200"/>
        <v>#N/A</v>
      </c>
      <c r="AE435" s="324">
        <f t="shared" ca="1" si="179"/>
        <v>1533.9572423396069</v>
      </c>
      <c r="AG435" s="306">
        <f t="shared" ca="1" si="201"/>
        <v>-23.798775668504369</v>
      </c>
      <c r="AH435" s="304">
        <f t="shared" ca="1" si="202"/>
        <v>-14.274466601277743</v>
      </c>
    </row>
    <row r="436" spans="1:34" x14ac:dyDescent="0.2">
      <c r="A436" s="347">
        <f t="shared" ca="1" si="180"/>
        <v>0.1</v>
      </c>
      <c r="B436" s="304">
        <f t="shared" ca="1" si="181"/>
        <v>7.1999999999999478</v>
      </c>
      <c r="D436" s="306">
        <f t="shared" ca="1" si="182"/>
        <v>-3.3256242878428424</v>
      </c>
      <c r="E436" s="307">
        <f t="shared" ca="1" si="183"/>
        <v>-23.191853472090237</v>
      </c>
      <c r="F436" s="304">
        <f t="shared" ca="1" si="184"/>
        <v>23.429081167958639</v>
      </c>
      <c r="G436" s="306">
        <f t="shared" ca="1" si="185"/>
        <v>33.946181288940807</v>
      </c>
      <c r="H436" s="307">
        <f t="shared" ca="1" si="186"/>
        <v>135.61375173014014</v>
      </c>
      <c r="I436" s="304">
        <f t="shared" ca="1" si="187"/>
        <v>139.79782860411575</v>
      </c>
      <c r="J436" s="306">
        <f t="shared" ca="1" si="188"/>
        <v>321.26480872606925</v>
      </c>
      <c r="K436" s="307">
        <f t="shared" ca="1" si="189"/>
        <v>1547.6345767799812</v>
      </c>
      <c r="L436" s="304">
        <f t="shared" ca="1" si="174"/>
        <v>1580.6276793004572</v>
      </c>
      <c r="M436" s="306">
        <f t="shared" ca="1" si="190"/>
        <v>1.3255210414123777</v>
      </c>
      <c r="N436" s="304">
        <f t="shared" ca="1" si="191"/>
        <v>75.946761328714857</v>
      </c>
      <c r="P436" s="310">
        <f t="shared" ca="1" si="192"/>
        <v>23</v>
      </c>
      <c r="Q436" s="304">
        <f t="shared" ca="1" si="193"/>
        <v>0</v>
      </c>
      <c r="R436" s="306">
        <f t="shared" ca="1" si="194"/>
        <v>0</v>
      </c>
      <c r="S436" s="307">
        <f t="shared" ca="1" si="195"/>
        <v>4.9929999999999914</v>
      </c>
      <c r="T436" s="304">
        <f t="shared" ca="1" si="175"/>
        <v>48.981329999999922</v>
      </c>
      <c r="U436" s="311">
        <f t="shared" ca="1" si="176"/>
        <v>0</v>
      </c>
      <c r="V436" s="306">
        <f t="shared" ca="1" si="177"/>
        <v>1.0490315102987249</v>
      </c>
      <c r="W436" s="304">
        <f t="shared" ca="1" si="178"/>
        <v>66.516869869458986</v>
      </c>
      <c r="Y436" s="314" t="str">
        <f t="shared" ca="1" si="196"/>
        <v/>
      </c>
      <c r="Z436" s="315" t="str">
        <f t="shared" ca="1" si="197"/>
        <v/>
      </c>
      <c r="AA436" s="316" t="str">
        <f t="shared" ca="1" si="198"/>
        <v/>
      </c>
      <c r="AC436" s="310" t="e">
        <f t="shared" ca="1" si="199"/>
        <v>#N/A</v>
      </c>
      <c r="AD436" s="323" t="e">
        <f t="shared" ca="1" si="200"/>
        <v>#N/A</v>
      </c>
      <c r="AE436" s="324">
        <f t="shared" ca="1" si="179"/>
        <v>1547.6345767799812</v>
      </c>
      <c r="AG436" s="306">
        <f t="shared" ca="1" si="201"/>
        <v>-23.309310260734684</v>
      </c>
      <c r="AH436" s="304">
        <f t="shared" ca="1" si="202"/>
        <v>-13.788900581713676</v>
      </c>
    </row>
    <row r="437" spans="1:34" x14ac:dyDescent="0.2">
      <c r="A437" s="347">
        <f t="shared" ca="1" si="180"/>
        <v>0.1</v>
      </c>
      <c r="B437" s="304">
        <f t="shared" ca="1" si="181"/>
        <v>7.2999999999999474</v>
      </c>
      <c r="D437" s="306">
        <f t="shared" ca="1" si="182"/>
        <v>-3.234899095392672</v>
      </c>
      <c r="E437" s="307">
        <f t="shared" ca="1" si="183"/>
        <v>-22.733303480310994</v>
      </c>
      <c r="F437" s="304">
        <f t="shared" ca="1" si="184"/>
        <v>22.96230953726764</v>
      </c>
      <c r="G437" s="306">
        <f t="shared" ca="1" si="185"/>
        <v>33.622691379401537</v>
      </c>
      <c r="H437" s="307">
        <f t="shared" ca="1" si="186"/>
        <v>133.34042138210904</v>
      </c>
      <c r="I437" s="304">
        <f t="shared" ca="1" si="187"/>
        <v>137.51419326728745</v>
      </c>
      <c r="J437" s="306">
        <f t="shared" ca="1" si="188"/>
        <v>324.64325235948638</v>
      </c>
      <c r="K437" s="307">
        <f t="shared" ca="1" si="189"/>
        <v>1561.0822854355936</v>
      </c>
      <c r="L437" s="304">
        <f t="shared" ca="1" si="174"/>
        <v>1594.481465305684</v>
      </c>
      <c r="M437" s="306">
        <f t="shared" ca="1" si="190"/>
        <v>1.3237887849123879</v>
      </c>
      <c r="N437" s="304">
        <f t="shared" ca="1" si="191"/>
        <v>75.847510342231345</v>
      </c>
      <c r="P437" s="310">
        <f t="shared" ca="1" si="192"/>
        <v>23</v>
      </c>
      <c r="Q437" s="304">
        <f t="shared" ca="1" si="193"/>
        <v>0</v>
      </c>
      <c r="R437" s="306">
        <f t="shared" ca="1" si="194"/>
        <v>0</v>
      </c>
      <c r="S437" s="307">
        <f t="shared" ca="1" si="195"/>
        <v>4.9929999999999914</v>
      </c>
      <c r="T437" s="304">
        <f t="shared" ca="1" si="175"/>
        <v>48.981329999999922</v>
      </c>
      <c r="U437" s="311">
        <f t="shared" ca="1" si="176"/>
        <v>0</v>
      </c>
      <c r="V437" s="306">
        <f t="shared" ca="1" si="177"/>
        <v>1.047613190345239</v>
      </c>
      <c r="W437" s="304">
        <f t="shared" ca="1" si="178"/>
        <v>64.274458667620635</v>
      </c>
      <c r="Y437" s="314" t="str">
        <f t="shared" ca="1" si="196"/>
        <v/>
      </c>
      <c r="Z437" s="315" t="str">
        <f t="shared" ca="1" si="197"/>
        <v/>
      </c>
      <c r="AA437" s="316" t="str">
        <f t="shared" ca="1" si="198"/>
        <v/>
      </c>
      <c r="AC437" s="310" t="e">
        <f t="shared" ca="1" si="199"/>
        <v>#N/A</v>
      </c>
      <c r="AD437" s="323" t="e">
        <f t="shared" ca="1" si="200"/>
        <v>#N/A</v>
      </c>
      <c r="AE437" s="324">
        <f t="shared" ca="1" si="179"/>
        <v>1561.0822854355936</v>
      </c>
      <c r="AG437" s="306">
        <f t="shared" ca="1" si="201"/>
        <v>-22.838416570616594</v>
      </c>
      <c r="AH437" s="304">
        <f t="shared" ca="1" si="202"/>
        <v>-13.322024808623894</v>
      </c>
    </row>
    <row r="438" spans="1:34" x14ac:dyDescent="0.2">
      <c r="A438" s="347">
        <f t="shared" ca="1" si="180"/>
        <v>0.1</v>
      </c>
      <c r="B438" s="304">
        <f t="shared" ca="1" si="181"/>
        <v>7.3999999999999471</v>
      </c>
      <c r="D438" s="306">
        <f t="shared" ca="1" si="182"/>
        <v>-3.1474715300275924</v>
      </c>
      <c r="E438" s="307">
        <f t="shared" ca="1" si="183"/>
        <v>-22.292200647363551</v>
      </c>
      <c r="F438" s="304">
        <f t="shared" ca="1" si="184"/>
        <v>22.513302439550046</v>
      </c>
      <c r="G438" s="306">
        <f t="shared" ca="1" si="185"/>
        <v>33.307944226398781</v>
      </c>
      <c r="H438" s="307">
        <f t="shared" ca="1" si="186"/>
        <v>131.11120131737269</v>
      </c>
      <c r="I438" s="304">
        <f t="shared" ca="1" si="187"/>
        <v>135.27588942407115</v>
      </c>
      <c r="J438" s="306">
        <f t="shared" ca="1" si="188"/>
        <v>327.98978413977642</v>
      </c>
      <c r="K438" s="307">
        <f t="shared" ca="1" si="189"/>
        <v>1574.3048665705676</v>
      </c>
      <c r="L438" s="304">
        <f t="shared" ca="1" si="174"/>
        <v>1608.1085508782764</v>
      </c>
      <c r="M438" s="306">
        <f t="shared" ca="1" si="190"/>
        <v>1.3220156826424849</v>
      </c>
      <c r="N438" s="304">
        <f t="shared" ca="1" si="191"/>
        <v>75.745919065520823</v>
      </c>
      <c r="P438" s="310">
        <f t="shared" ca="1" si="192"/>
        <v>23</v>
      </c>
      <c r="Q438" s="304">
        <f t="shared" ca="1" si="193"/>
        <v>0</v>
      </c>
      <c r="R438" s="306">
        <f t="shared" ca="1" si="194"/>
        <v>0</v>
      </c>
      <c r="S438" s="307">
        <f t="shared" ca="1" si="195"/>
        <v>4.9929999999999914</v>
      </c>
      <c r="T438" s="304">
        <f t="shared" ca="1" si="175"/>
        <v>48.981329999999922</v>
      </c>
      <c r="U438" s="311">
        <f t="shared" ca="1" si="176"/>
        <v>0</v>
      </c>
      <c r="V438" s="306">
        <f t="shared" ca="1" si="177"/>
        <v>1.0462203384094013</v>
      </c>
      <c r="W438" s="304">
        <f t="shared" ca="1" si="178"/>
        <v>62.116413664535358</v>
      </c>
      <c r="Y438" s="314" t="str">
        <f t="shared" ca="1" si="196"/>
        <v/>
      </c>
      <c r="Z438" s="315" t="str">
        <f t="shared" ca="1" si="197"/>
        <v/>
      </c>
      <c r="AA438" s="316" t="str">
        <f t="shared" ca="1" si="198"/>
        <v/>
      </c>
      <c r="AC438" s="310" t="e">
        <f t="shared" ca="1" si="199"/>
        <v>#N/A</v>
      </c>
      <c r="AD438" s="323" t="e">
        <f t="shared" ca="1" si="200"/>
        <v>#N/A</v>
      </c>
      <c r="AE438" s="324">
        <f t="shared" ca="1" si="179"/>
        <v>1574.3048665705676</v>
      </c>
      <c r="AG438" s="306">
        <f t="shared" ca="1" si="201"/>
        <v>-22.385164895308492</v>
      </c>
      <c r="AH438" s="304">
        <f t="shared" ca="1" si="202"/>
        <v>-12.872913812862157</v>
      </c>
    </row>
    <row r="439" spans="1:34" x14ac:dyDescent="0.2">
      <c r="A439" s="347">
        <f t="shared" ca="1" si="180"/>
        <v>0.1</v>
      </c>
      <c r="B439" s="304">
        <f t="shared" ca="1" si="181"/>
        <v>7.4999999999999467</v>
      </c>
      <c r="D439" s="306">
        <f t="shared" ca="1" si="182"/>
        <v>-3.0631780277006584</v>
      </c>
      <c r="E439" s="307">
        <f t="shared" ca="1" si="183"/>
        <v>-21.867692553192917</v>
      </c>
      <c r="F439" s="304">
        <f t="shared" ca="1" si="184"/>
        <v>22.081191934095337</v>
      </c>
      <c r="G439" s="306">
        <f t="shared" ca="1" si="185"/>
        <v>33.001626423628714</v>
      </c>
      <c r="H439" s="307">
        <f t="shared" ca="1" si="186"/>
        <v>128.9244320620534</v>
      </c>
      <c r="I439" s="304">
        <f t="shared" ca="1" si="187"/>
        <v>133.08124033509671</v>
      </c>
      <c r="J439" s="306">
        <f t="shared" ca="1" si="188"/>
        <v>331.30526267227782</v>
      </c>
      <c r="K439" s="307">
        <f t="shared" ca="1" si="189"/>
        <v>1587.3066482395388</v>
      </c>
      <c r="L439" s="304">
        <f t="shared" ca="1" si="174"/>
        <v>1621.51335875465</v>
      </c>
      <c r="M439" s="306">
        <f t="shared" ca="1" si="190"/>
        <v>1.3202006692386297</v>
      </c>
      <c r="N439" s="304">
        <f t="shared" ca="1" si="191"/>
        <v>75.641926457720245</v>
      </c>
      <c r="P439" s="310">
        <f t="shared" ca="1" si="192"/>
        <v>23</v>
      </c>
      <c r="Q439" s="304">
        <f t="shared" ca="1" si="193"/>
        <v>0</v>
      </c>
      <c r="R439" s="306">
        <f t="shared" ca="1" si="194"/>
        <v>0</v>
      </c>
      <c r="S439" s="307">
        <f t="shared" ca="1" si="195"/>
        <v>4.9929999999999914</v>
      </c>
      <c r="T439" s="304">
        <f t="shared" ca="1" si="175"/>
        <v>48.981329999999922</v>
      </c>
      <c r="U439" s="311">
        <f t="shared" ca="1" si="176"/>
        <v>0</v>
      </c>
      <c r="V439" s="306">
        <f t="shared" ca="1" si="177"/>
        <v>1.0448524090311189</v>
      </c>
      <c r="W439" s="304">
        <f t="shared" ca="1" si="178"/>
        <v>60.03866780376817</v>
      </c>
      <c r="Y439" s="314" t="str">
        <f t="shared" ca="1" si="196"/>
        <v/>
      </c>
      <c r="Z439" s="315" t="str">
        <f t="shared" ca="1" si="197"/>
        <v/>
      </c>
      <c r="AA439" s="316" t="str">
        <f t="shared" ca="1" si="198"/>
        <v/>
      </c>
      <c r="AC439" s="310" t="e">
        <f t="shared" ca="1" si="199"/>
        <v>#N/A</v>
      </c>
      <c r="AD439" s="323" t="e">
        <f t="shared" ca="1" si="200"/>
        <v>#N/A</v>
      </c>
      <c r="AE439" s="324">
        <f t="shared" ca="1" si="179"/>
        <v>1587.3066482395388</v>
      </c>
      <c r="AG439" s="306">
        <f t="shared" ca="1" si="201"/>
        <v>-21.94868291926338</v>
      </c>
      <c r="AH439" s="304">
        <f t="shared" ca="1" si="202"/>
        <v>-12.4406997125046</v>
      </c>
    </row>
    <row r="440" spans="1:34" x14ac:dyDescent="0.2">
      <c r="A440" s="347">
        <f t="shared" ca="1" si="180"/>
        <v>0.1</v>
      </c>
      <c r="B440" s="304">
        <f t="shared" ca="1" si="181"/>
        <v>7.5999999999999464</v>
      </c>
      <c r="D440" s="306">
        <f t="shared" ca="1" si="182"/>
        <v>-2.9818650516531715</v>
      </c>
      <c r="E440" s="307">
        <f t="shared" ca="1" si="183"/>
        <v>-21.458979154397689</v>
      </c>
      <c r="F440" s="304">
        <f t="shared" ca="1" si="184"/>
        <v>21.665163408918591</v>
      </c>
      <c r="G440" s="306">
        <f t="shared" ca="1" si="185"/>
        <v>32.703439918463395</v>
      </c>
      <c r="H440" s="307">
        <f t="shared" ca="1" si="186"/>
        <v>126.77853414661362</v>
      </c>
      <c r="I440" s="304">
        <f t="shared" ca="1" si="187"/>
        <v>130.92865119164949</v>
      </c>
      <c r="J440" s="306">
        <f t="shared" ca="1" si="188"/>
        <v>334.59051598938242</v>
      </c>
      <c r="K440" s="307">
        <f t="shared" ca="1" si="189"/>
        <v>1600.0917965499723</v>
      </c>
      <c r="L440" s="304">
        <f t="shared" ca="1" si="174"/>
        <v>1634.7001470534462</v>
      </c>
      <c r="M440" s="306">
        <f t="shared" ca="1" si="190"/>
        <v>1.3183426377608571</v>
      </c>
      <c r="N440" s="304">
        <f t="shared" ca="1" si="191"/>
        <v>75.535469095841435</v>
      </c>
      <c r="P440" s="310">
        <f t="shared" ca="1" si="192"/>
        <v>23</v>
      </c>
      <c r="Q440" s="304">
        <f t="shared" ca="1" si="193"/>
        <v>0</v>
      </c>
      <c r="R440" s="306">
        <f t="shared" ca="1" si="194"/>
        <v>0</v>
      </c>
      <c r="S440" s="307">
        <f t="shared" ca="1" si="195"/>
        <v>4.9929999999999914</v>
      </c>
      <c r="T440" s="304">
        <f t="shared" ca="1" si="175"/>
        <v>48.981329999999922</v>
      </c>
      <c r="U440" s="311">
        <f t="shared" ca="1" si="176"/>
        <v>0</v>
      </c>
      <c r="V440" s="306">
        <f t="shared" ca="1" si="177"/>
        <v>1.0435088777181225</v>
      </c>
      <c r="W440" s="304">
        <f t="shared" ca="1" si="178"/>
        <v>58.037400870719559</v>
      </c>
      <c r="Y440" s="314" t="str">
        <f t="shared" ca="1" si="196"/>
        <v/>
      </c>
      <c r="Z440" s="315" t="str">
        <f t="shared" ca="1" si="197"/>
        <v/>
      </c>
      <c r="AA440" s="316" t="str">
        <f t="shared" ca="1" si="198"/>
        <v/>
      </c>
      <c r="AC440" s="310" t="e">
        <f t="shared" ca="1" si="199"/>
        <v>#N/A</v>
      </c>
      <c r="AD440" s="323" t="e">
        <f t="shared" ca="1" si="200"/>
        <v>#N/A</v>
      </c>
      <c r="AE440" s="324">
        <f t="shared" ca="1" si="179"/>
        <v>1600.0917965499723</v>
      </c>
      <c r="AG440" s="306">
        <f t="shared" ca="1" si="201"/>
        <v>-21.528151446278109</v>
      </c>
      <c r="AH440" s="304">
        <f t="shared" ca="1" si="202"/>
        <v>-12.024567955891904</v>
      </c>
    </row>
    <row r="441" spans="1:34" x14ac:dyDescent="0.2">
      <c r="A441" s="347">
        <f t="shared" ca="1" si="180"/>
        <v>0.1</v>
      </c>
      <c r="B441" s="304">
        <f t="shared" ca="1" si="181"/>
        <v>7.699999999999946</v>
      </c>
      <c r="D441" s="306">
        <f t="shared" ca="1" si="182"/>
        <v>-2.9033883602305255</v>
      </c>
      <c r="E441" s="307">
        <f t="shared" ca="1" si="183"/>
        <v>-21.065308960955974</v>
      </c>
      <c r="F441" s="304">
        <f t="shared" ca="1" si="184"/>
        <v>21.264451687989844</v>
      </c>
      <c r="G441" s="306">
        <f t="shared" ca="1" si="185"/>
        <v>32.413101082440342</v>
      </c>
      <c r="H441" s="307">
        <f t="shared" ca="1" si="186"/>
        <v>124.67200325051803</v>
      </c>
      <c r="I441" s="304">
        <f t="shared" ca="1" si="187"/>
        <v>128.81660419479189</v>
      </c>
      <c r="J441" s="306">
        <f t="shared" ca="1" si="188"/>
        <v>337.84634303942761</v>
      </c>
      <c r="K441" s="307">
        <f t="shared" ca="1" si="189"/>
        <v>1612.6643234198289</v>
      </c>
      <c r="L441" s="304">
        <f t="shared" ca="1" si="174"/>
        <v>1647.6730171779377</v>
      </c>
      <c r="M441" s="306">
        <f t="shared" ca="1" si="190"/>
        <v>1.3164404378124797</v>
      </c>
      <c r="N441" s="304">
        <f t="shared" ca="1" si="191"/>
        <v>75.426481067009391</v>
      </c>
      <c r="P441" s="310">
        <f t="shared" ca="1" si="192"/>
        <v>23</v>
      </c>
      <c r="Q441" s="304">
        <f t="shared" ca="1" si="193"/>
        <v>0</v>
      </c>
      <c r="R441" s="306">
        <f t="shared" ca="1" si="194"/>
        <v>0</v>
      </c>
      <c r="S441" s="307">
        <f t="shared" ca="1" si="195"/>
        <v>4.9929999999999914</v>
      </c>
      <c r="T441" s="304">
        <f t="shared" ca="1" si="175"/>
        <v>48.981329999999922</v>
      </c>
      <c r="U441" s="311">
        <f t="shared" ca="1" si="176"/>
        <v>0</v>
      </c>
      <c r="V441" s="306">
        <f t="shared" ca="1" si="177"/>
        <v>1.0421892399172101</v>
      </c>
      <c r="W441" s="304">
        <f t="shared" ca="1" si="178"/>
        <v>56.109021699075313</v>
      </c>
      <c r="Y441" s="314" t="str">
        <f t="shared" ca="1" si="196"/>
        <v/>
      </c>
      <c r="Z441" s="315" t="str">
        <f t="shared" ca="1" si="197"/>
        <v/>
      </c>
      <c r="AA441" s="316" t="str">
        <f t="shared" ca="1" si="198"/>
        <v/>
      </c>
      <c r="AC441" s="310" t="e">
        <f t="shared" ca="1" si="199"/>
        <v>#N/A</v>
      </c>
      <c r="AD441" s="323" t="e">
        <f t="shared" ca="1" si="200"/>
        <v>#N/A</v>
      </c>
      <c r="AE441" s="324">
        <f t="shared" ca="1" si="179"/>
        <v>1612.6643234198289</v>
      </c>
      <c r="AG441" s="306">
        <f t="shared" ca="1" si="201"/>
        <v>-21.122800495104116</v>
      </c>
      <c r="AH441" s="304">
        <f t="shared" ca="1" si="202"/>
        <v>-11.623753428944454</v>
      </c>
    </row>
    <row r="442" spans="1:34" x14ac:dyDescent="0.2">
      <c r="A442" s="347">
        <f t="shared" ca="1" si="180"/>
        <v>0.1</v>
      </c>
      <c r="B442" s="304">
        <f t="shared" ca="1" si="181"/>
        <v>7.7999999999999456</v>
      </c>
      <c r="D442" s="306">
        <f t="shared" ca="1" si="182"/>
        <v>-2.8276123366041461</v>
      </c>
      <c r="E442" s="307">
        <f t="shared" ca="1" si="183"/>
        <v>-20.685975536055551</v>
      </c>
      <c r="F442" s="304">
        <f t="shared" ca="1" si="184"/>
        <v>20.878337467442293</v>
      </c>
      <c r="G442" s="306">
        <f t="shared" ca="1" si="185"/>
        <v>32.130339848779926</v>
      </c>
      <c r="H442" s="307">
        <f t="shared" ca="1" si="186"/>
        <v>122.60340569691247</v>
      </c>
      <c r="I442" s="304">
        <f t="shared" ca="1" si="187"/>
        <v>126.74365399214197</v>
      </c>
      <c r="J442" s="306">
        <f t="shared" ca="1" si="188"/>
        <v>341.07351508598862</v>
      </c>
      <c r="K442" s="307">
        <f t="shared" ca="1" si="189"/>
        <v>1625.0280938672004</v>
      </c>
      <c r="L442" s="304">
        <f t="shared" ca="1" si="174"/>
        <v>1660.4359212420029</v>
      </c>
      <c r="M442" s="306">
        <f t="shared" ca="1" si="190"/>
        <v>1.3144928735547794</v>
      </c>
      <c r="N442" s="304">
        <f t="shared" ca="1" si="191"/>
        <v>75.314893854712636</v>
      </c>
      <c r="P442" s="310">
        <f t="shared" ca="1" si="192"/>
        <v>23</v>
      </c>
      <c r="Q442" s="304">
        <f t="shared" ca="1" si="193"/>
        <v>0</v>
      </c>
      <c r="R442" s="306">
        <f t="shared" ca="1" si="194"/>
        <v>0</v>
      </c>
      <c r="S442" s="307">
        <f t="shared" ca="1" si="195"/>
        <v>4.9929999999999914</v>
      </c>
      <c r="T442" s="304">
        <f t="shared" ca="1" si="175"/>
        <v>48.981329999999922</v>
      </c>
      <c r="U442" s="311">
        <f t="shared" ca="1" si="176"/>
        <v>0</v>
      </c>
      <c r="V442" s="306">
        <f t="shared" ca="1" si="177"/>
        <v>1.0408930100486791</v>
      </c>
      <c r="W442" s="304">
        <f t="shared" ca="1" si="178"/>
        <v>54.250151862706844</v>
      </c>
      <c r="Y442" s="314" t="str">
        <f t="shared" ca="1" si="196"/>
        <v/>
      </c>
      <c r="Z442" s="315" t="str">
        <f t="shared" ca="1" si="197"/>
        <v/>
      </c>
      <c r="AA442" s="316" t="str">
        <f t="shared" ca="1" si="198"/>
        <v/>
      </c>
      <c r="AC442" s="310" t="e">
        <f t="shared" ca="1" si="199"/>
        <v>#N/A</v>
      </c>
      <c r="AD442" s="323" t="e">
        <f t="shared" ca="1" si="200"/>
        <v>#N/A</v>
      </c>
      <c r="AE442" s="324">
        <f t="shared" ca="1" si="179"/>
        <v>1625.0280938672004</v>
      </c>
      <c r="AG442" s="306">
        <f t="shared" ca="1" si="201"/>
        <v>-20.731905723280462</v>
      </c>
      <c r="AH442" s="304">
        <f t="shared" ca="1" si="202"/>
        <v>-11.23753689146313</v>
      </c>
    </row>
    <row r="443" spans="1:34" x14ac:dyDescent="0.2">
      <c r="A443" s="347">
        <f t="shared" ca="1" si="180"/>
        <v>0.1</v>
      </c>
      <c r="B443" s="304">
        <f t="shared" ca="1" si="181"/>
        <v>7.8999999999999453</v>
      </c>
      <c r="D443" s="306">
        <f t="shared" ca="1" si="182"/>
        <v>-2.754409374477869</v>
      </c>
      <c r="E443" s="307">
        <f t="shared" ca="1" si="183"/>
        <v>-20.32031428811085</v>
      </c>
      <c r="F443" s="304">
        <f t="shared" ca="1" si="184"/>
        <v>20.506144049279804</v>
      </c>
      <c r="G443" s="306">
        <f t="shared" ca="1" si="185"/>
        <v>31.854898911332139</v>
      </c>
      <c r="H443" s="307">
        <f t="shared" ca="1" si="186"/>
        <v>120.57137426810139</v>
      </c>
      <c r="I443" s="304">
        <f t="shared" ca="1" si="187"/>
        <v>124.70842344264389</v>
      </c>
      <c r="J443" s="306">
        <f t="shared" ca="1" si="188"/>
        <v>344.27277702399419</v>
      </c>
      <c r="K443" s="307">
        <f t="shared" ca="1" si="189"/>
        <v>1637.1868328654512</v>
      </c>
      <c r="L443" s="304">
        <f t="shared" ca="1" si="174"/>
        <v>1672.9926690538186</v>
      </c>
      <c r="M443" s="306">
        <f t="shared" ca="1" si="190"/>
        <v>1.3124987016106706</v>
      </c>
      <c r="N443" s="304">
        <f t="shared" ca="1" si="191"/>
        <v>75.200636218691812</v>
      </c>
      <c r="P443" s="310">
        <f t="shared" ca="1" si="192"/>
        <v>23</v>
      </c>
      <c r="Q443" s="304">
        <f t="shared" ca="1" si="193"/>
        <v>0</v>
      </c>
      <c r="R443" s="306">
        <f t="shared" ca="1" si="194"/>
        <v>0</v>
      </c>
      <c r="S443" s="307">
        <f t="shared" ca="1" si="195"/>
        <v>4.9929999999999914</v>
      </c>
      <c r="T443" s="304">
        <f t="shared" ca="1" si="175"/>
        <v>48.981329999999922</v>
      </c>
      <c r="U443" s="311">
        <f t="shared" ca="1" si="176"/>
        <v>0</v>
      </c>
      <c r="V443" s="306">
        <f t="shared" ca="1" si="177"/>
        <v>1.0396197205993642</v>
      </c>
      <c r="W443" s="304">
        <f t="shared" ca="1" si="178"/>
        <v>52.457610712608208</v>
      </c>
      <c r="Y443" s="314" t="str">
        <f t="shared" ca="1" si="196"/>
        <v/>
      </c>
      <c r="Z443" s="315" t="str">
        <f t="shared" ca="1" si="197"/>
        <v/>
      </c>
      <c r="AA443" s="316" t="str">
        <f t="shared" ca="1" si="198"/>
        <v/>
      </c>
      <c r="AC443" s="310" t="e">
        <f t="shared" ca="1" si="199"/>
        <v>#N/A</v>
      </c>
      <c r="AD443" s="323" t="e">
        <f t="shared" ca="1" si="200"/>
        <v>#N/A</v>
      </c>
      <c r="AE443" s="324">
        <f t="shared" ca="1" si="179"/>
        <v>1637.1868328654512</v>
      </c>
      <c r="AG443" s="306">
        <f t="shared" ca="1" si="201"/>
        <v>-20.354785147654095</v>
      </c>
      <c r="AH443" s="304">
        <f t="shared" ca="1" si="202"/>
        <v>-10.865241710936699</v>
      </c>
    </row>
    <row r="444" spans="1:34" x14ac:dyDescent="0.2">
      <c r="A444" s="347">
        <f t="shared" ca="1" si="180"/>
        <v>0.1</v>
      </c>
      <c r="B444" s="304">
        <f t="shared" ca="1" si="181"/>
        <v>7.9999999999999449</v>
      </c>
      <c r="D444" s="306">
        <f t="shared" ca="1" si="182"/>
        <v>-2.6836593144887964</v>
      </c>
      <c r="E444" s="307">
        <f t="shared" ca="1" si="183"/>
        <v>-19.967699527346372</v>
      </c>
      <c r="F444" s="304">
        <f t="shared" ca="1" si="184"/>
        <v>20.147234344461054</v>
      </c>
      <c r="G444" s="306">
        <f t="shared" ca="1" si="185"/>
        <v>31.586532979883259</v>
      </c>
      <c r="H444" s="307">
        <f t="shared" ca="1" si="186"/>
        <v>118.57460431536676</v>
      </c>
      <c r="I444" s="304">
        <f t="shared" ca="1" si="187"/>
        <v>122.70959968248224</v>
      </c>
      <c r="J444" s="306">
        <f t="shared" ca="1" si="188"/>
        <v>347.44484861855494</v>
      </c>
      <c r="K444" s="307">
        <f t="shared" ca="1" si="189"/>
        <v>1649.1441317946246</v>
      </c>
      <c r="L444" s="304">
        <f t="shared" ca="1" si="174"/>
        <v>1685.3469346885872</v>
      </c>
      <c r="M444" s="306">
        <f t="shared" ca="1" si="190"/>
        <v>1.3104566288503543</v>
      </c>
      <c r="N444" s="304">
        <f t="shared" ca="1" si="191"/>
        <v>75.083634068067056</v>
      </c>
      <c r="P444" s="310">
        <f t="shared" ca="1" si="192"/>
        <v>23</v>
      </c>
      <c r="Q444" s="304">
        <f t="shared" ca="1" si="193"/>
        <v>0</v>
      </c>
      <c r="R444" s="306">
        <f t="shared" ca="1" si="194"/>
        <v>0</v>
      </c>
      <c r="S444" s="307">
        <f t="shared" ca="1" si="195"/>
        <v>4.9929999999999914</v>
      </c>
      <c r="T444" s="304">
        <f t="shared" ca="1" si="175"/>
        <v>48.981329999999922</v>
      </c>
      <c r="U444" s="311">
        <f t="shared" ca="1" si="176"/>
        <v>0</v>
      </c>
      <c r="V444" s="306">
        <f t="shared" ca="1" si="177"/>
        <v>1.038368921270058</v>
      </c>
      <c r="W444" s="304">
        <f t="shared" ca="1" si="178"/>
        <v>50.728401633245888</v>
      </c>
      <c r="Y444" s="314" t="str">
        <f t="shared" ca="1" si="196"/>
        <v/>
      </c>
      <c r="Z444" s="315" t="str">
        <f t="shared" ca="1" si="197"/>
        <v/>
      </c>
      <c r="AA444" s="316" t="str">
        <f t="shared" ca="1" si="198"/>
        <v/>
      </c>
      <c r="AC444" s="310">
        <f t="shared" ca="1" si="199"/>
        <v>7.9999999999999449</v>
      </c>
      <c r="AD444" s="323">
        <f t="shared" ca="1" si="200"/>
        <v>347.44484861855494</v>
      </c>
      <c r="AE444" s="324">
        <f t="shared" ca="1" si="179"/>
        <v>1649.1441317946246</v>
      </c>
      <c r="AG444" s="306">
        <f t="shared" ca="1" si="201"/>
        <v>-19.990796133404416</v>
      </c>
      <c r="AH444" s="304">
        <f t="shared" ca="1" si="202"/>
        <v>-10.506230865733686</v>
      </c>
    </row>
    <row r="445" spans="1:34" x14ac:dyDescent="0.2">
      <c r="A445" s="347">
        <f t="shared" ca="1" si="180"/>
        <v>0.1</v>
      </c>
      <c r="B445" s="304">
        <f t="shared" ca="1" si="181"/>
        <v>8.0999999999999446</v>
      </c>
      <c r="D445" s="306">
        <f t="shared" ca="1" si="182"/>
        <v>-2.6152489265700058</v>
      </c>
      <c r="E445" s="307">
        <f t="shared" ca="1" si="183"/>
        <v>-19.627541762235289</v>
      </c>
      <c r="F445" s="304">
        <f t="shared" ca="1" si="184"/>
        <v>19.801008120199736</v>
      </c>
      <c r="G445" s="306">
        <f t="shared" ca="1" si="185"/>
        <v>31.325008087226259</v>
      </c>
      <c r="H445" s="307">
        <f t="shared" ca="1" si="186"/>
        <v>116.61185013914323</v>
      </c>
      <c r="I445" s="304">
        <f t="shared" ca="1" si="187"/>
        <v>120.74593046781655</v>
      </c>
      <c r="J445" s="306">
        <f t="shared" ca="1" si="188"/>
        <v>350.5904256719104</v>
      </c>
      <c r="K445" s="307">
        <f t="shared" ca="1" si="189"/>
        <v>1660.9034545173502</v>
      </c>
      <c r="L445" s="304">
        <f t="shared" ca="1" si="174"/>
        <v>1697.5022626790455</v>
      </c>
      <c r="M445" s="306">
        <f t="shared" ca="1" si="190"/>
        <v>1.3083653100514827</v>
      </c>
      <c r="N445" s="304">
        <f t="shared" ca="1" si="191"/>
        <v>74.96381032727534</v>
      </c>
      <c r="P445" s="310">
        <f t="shared" ca="1" si="192"/>
        <v>23</v>
      </c>
      <c r="Q445" s="304">
        <f t="shared" ca="1" si="193"/>
        <v>0</v>
      </c>
      <c r="R445" s="306">
        <f t="shared" ca="1" si="194"/>
        <v>0</v>
      </c>
      <c r="S445" s="307">
        <f t="shared" ca="1" si="195"/>
        <v>4.9929999999999914</v>
      </c>
      <c r="T445" s="304">
        <f t="shared" ca="1" si="175"/>
        <v>48.981329999999922</v>
      </c>
      <c r="U445" s="311">
        <f t="shared" ca="1" si="176"/>
        <v>0</v>
      </c>
      <c r="V445" s="306">
        <f t="shared" ca="1" si="177"/>
        <v>1.0371401781734604</v>
      </c>
      <c r="W445" s="304">
        <f t="shared" ca="1" si="178"/>
        <v>49.059699405777998</v>
      </c>
      <c r="Y445" s="314" t="str">
        <f t="shared" ca="1" si="196"/>
        <v/>
      </c>
      <c r="Z445" s="315" t="str">
        <f t="shared" ca="1" si="197"/>
        <v/>
      </c>
      <c r="AA445" s="316" t="str">
        <f t="shared" ca="1" si="198"/>
        <v/>
      </c>
      <c r="AC445" s="310" t="e">
        <f t="shared" ca="1" si="199"/>
        <v>#N/A</v>
      </c>
      <c r="AD445" s="323" t="e">
        <f t="shared" ca="1" si="200"/>
        <v>#N/A</v>
      </c>
      <c r="AE445" s="324">
        <f t="shared" ca="1" si="179"/>
        <v>1660.9034545173502</v>
      </c>
      <c r="AG445" s="306">
        <f t="shared" ca="1" si="201"/>
        <v>-19.639332626346516</v>
      </c>
      <c r="AH445" s="304">
        <f t="shared" ca="1" si="202"/>
        <v>-10.159904192518722</v>
      </c>
    </row>
    <row r="446" spans="1:34" x14ac:dyDescent="0.2">
      <c r="A446" s="347">
        <f t="shared" ca="1" si="180"/>
        <v>0.1</v>
      </c>
      <c r="B446" s="304">
        <f t="shared" ca="1" si="181"/>
        <v>8.1999999999999442</v>
      </c>
      <c r="D446" s="306">
        <f t="shared" ca="1" si="182"/>
        <v>-2.5490714340356138</v>
      </c>
      <c r="E446" s="307">
        <f t="shared" ca="1" si="183"/>
        <v>-19.299285213654763</v>
      </c>
      <c r="F446" s="304">
        <f t="shared" ca="1" si="184"/>
        <v>19.466899468939825</v>
      </c>
      <c r="G446" s="306">
        <f t="shared" ca="1" si="185"/>
        <v>31.070100943822698</v>
      </c>
      <c r="H446" s="307">
        <f t="shared" ca="1" si="186"/>
        <v>114.68192161777775</v>
      </c>
      <c r="I446" s="304">
        <f t="shared" ca="1" si="187"/>
        <v>118.81622077227271</v>
      </c>
      <c r="J446" s="306">
        <f t="shared" ca="1" si="188"/>
        <v>353.71018112346286</v>
      </c>
      <c r="K446" s="307">
        <f t="shared" ca="1" si="189"/>
        <v>1672.4681431051963</v>
      </c>
      <c r="L446" s="304">
        <f t="shared" ca="1" si="174"/>
        <v>1709.4620738501735</v>
      </c>
      <c r="M446" s="306">
        <f t="shared" ca="1" si="190"/>
        <v>1.3062233454258227</v>
      </c>
      <c r="N446" s="304">
        <f t="shared" ca="1" si="191"/>
        <v>74.841084794358707</v>
      </c>
      <c r="P446" s="310">
        <f t="shared" ca="1" si="192"/>
        <v>23</v>
      </c>
      <c r="Q446" s="304">
        <f t="shared" ca="1" si="193"/>
        <v>0</v>
      </c>
      <c r="R446" s="306">
        <f t="shared" ca="1" si="194"/>
        <v>0</v>
      </c>
      <c r="S446" s="307">
        <f t="shared" ca="1" si="195"/>
        <v>4.9929999999999914</v>
      </c>
      <c r="T446" s="304">
        <f t="shared" ca="1" si="175"/>
        <v>48.981329999999922</v>
      </c>
      <c r="U446" s="311">
        <f t="shared" ca="1" si="176"/>
        <v>0</v>
      </c>
      <c r="V446" s="306">
        <f t="shared" ca="1" si="177"/>
        <v>1.0359330730791125</v>
      </c>
      <c r="W446" s="304">
        <f t="shared" ca="1" si="178"/>
        <v>47.44883857717781</v>
      </c>
      <c r="Y446" s="314" t="str">
        <f t="shared" ca="1" si="196"/>
        <v/>
      </c>
      <c r="Z446" s="315" t="str">
        <f t="shared" ca="1" si="197"/>
        <v/>
      </c>
      <c r="AA446" s="316" t="str">
        <f t="shared" ca="1" si="198"/>
        <v/>
      </c>
      <c r="AC446" s="310" t="e">
        <f t="shared" ca="1" si="199"/>
        <v>#N/A</v>
      </c>
      <c r="AD446" s="323" t="e">
        <f t="shared" ca="1" si="200"/>
        <v>#N/A</v>
      </c>
      <c r="AE446" s="324">
        <f t="shared" ca="1" si="179"/>
        <v>1672.4681431051963</v>
      </c>
      <c r="AG446" s="306">
        <f t="shared" ca="1" si="201"/>
        <v>-19.29982260590149</v>
      </c>
      <c r="AH446" s="304">
        <f t="shared" ca="1" si="202"/>
        <v>-9.8256958553531106</v>
      </c>
    </row>
    <row r="447" spans="1:34" x14ac:dyDescent="0.2">
      <c r="A447" s="347">
        <f t="shared" ca="1" si="180"/>
        <v>0.1</v>
      </c>
      <c r="B447" s="304">
        <f t="shared" ca="1" si="181"/>
        <v>8.2999999999999439</v>
      </c>
      <c r="D447" s="306">
        <f t="shared" ca="1" si="182"/>
        <v>-2.4850260755850129</v>
      </c>
      <c r="E447" s="307">
        <f t="shared" ca="1" si="183"/>
        <v>-18.982405526897232</v>
      </c>
      <c r="F447" s="304">
        <f t="shared" ca="1" si="184"/>
        <v>19.144374478783998</v>
      </c>
      <c r="G447" s="306">
        <f t="shared" ca="1" si="185"/>
        <v>30.821598336264199</v>
      </c>
      <c r="H447" s="307">
        <f t="shared" ca="1" si="186"/>
        <v>112.78368106508802</v>
      </c>
      <c r="I447" s="304">
        <f t="shared" ca="1" si="187"/>
        <v>116.91932961915877</v>
      </c>
      <c r="J447" s="306">
        <f t="shared" ca="1" si="188"/>
        <v>356.80476608746721</v>
      </c>
      <c r="K447" s="307">
        <f t="shared" ca="1" si="189"/>
        <v>1683.8414232393395</v>
      </c>
      <c r="L447" s="304">
        <f t="shared" ca="1" si="174"/>
        <v>1721.2296708224085</v>
      </c>
      <c r="M447" s="306">
        <f t="shared" ca="1" si="190"/>
        <v>1.3040292780038258</v>
      </c>
      <c r="N447" s="304">
        <f t="shared" ca="1" si="191"/>
        <v>74.715373991111136</v>
      </c>
      <c r="P447" s="310">
        <f t="shared" ca="1" si="192"/>
        <v>23</v>
      </c>
      <c r="Q447" s="304">
        <f t="shared" ca="1" si="193"/>
        <v>0</v>
      </c>
      <c r="R447" s="306">
        <f t="shared" ca="1" si="194"/>
        <v>0</v>
      </c>
      <c r="S447" s="307">
        <f t="shared" ca="1" si="195"/>
        <v>4.9929999999999914</v>
      </c>
      <c r="T447" s="304">
        <f t="shared" ca="1" si="175"/>
        <v>48.981329999999922</v>
      </c>
      <c r="U447" s="311">
        <f t="shared" ca="1" si="176"/>
        <v>0</v>
      </c>
      <c r="V447" s="306">
        <f t="shared" ca="1" si="177"/>
        <v>1.0347472027020528</v>
      </c>
      <c r="W447" s="304">
        <f t="shared" ca="1" si="178"/>
        <v>45.893302744564991</v>
      </c>
      <c r="Y447" s="314" t="str">
        <f t="shared" ca="1" si="196"/>
        <v/>
      </c>
      <c r="Z447" s="315" t="str">
        <f t="shared" ca="1" si="197"/>
        <v/>
      </c>
      <c r="AA447" s="316" t="str">
        <f t="shared" ca="1" si="198"/>
        <v/>
      </c>
      <c r="AC447" s="310" t="e">
        <f t="shared" ca="1" si="199"/>
        <v>#N/A</v>
      </c>
      <c r="AD447" s="323" t="e">
        <f t="shared" ca="1" si="200"/>
        <v>#N/A</v>
      </c>
      <c r="AE447" s="324">
        <f t="shared" ca="1" si="179"/>
        <v>1683.8414232393395</v>
      </c>
      <c r="AG447" s="306">
        <f t="shared" ca="1" si="201"/>
        <v>-18.97172573843547</v>
      </c>
      <c r="AH447" s="304">
        <f t="shared" ca="1" si="202"/>
        <v>-9.50307201625834</v>
      </c>
    </row>
    <row r="448" spans="1:34" x14ac:dyDescent="0.2">
      <c r="A448" s="347">
        <f t="shared" ca="1" si="180"/>
        <v>0.1</v>
      </c>
      <c r="B448" s="304">
        <f t="shared" ca="1" si="181"/>
        <v>8.3999999999999435</v>
      </c>
      <c r="D448" s="306">
        <f t="shared" ca="1" si="182"/>
        <v>-2.4230177018101933</v>
      </c>
      <c r="E448" s="307">
        <f t="shared" ca="1" si="183"/>
        <v>-18.676407663696345</v>
      </c>
      <c r="F448" s="304">
        <f t="shared" ca="1" si="184"/>
        <v>18.832929087209486</v>
      </c>
      <c r="G448" s="306">
        <f t="shared" ca="1" si="185"/>
        <v>30.57929656608318</v>
      </c>
      <c r="H448" s="307">
        <f t="shared" ca="1" si="186"/>
        <v>110.91604029871839</v>
      </c>
      <c r="I448" s="304">
        <f t="shared" ca="1" si="187"/>
        <v>115.05416713019736</v>
      </c>
      <c r="J448" s="306">
        <f t="shared" ca="1" si="188"/>
        <v>359.87481083258456</v>
      </c>
      <c r="K448" s="307">
        <f t="shared" ca="1" si="189"/>
        <v>1695.0264093075298</v>
      </c>
      <c r="L448" s="304">
        <f t="shared" ca="1" si="174"/>
        <v>1732.8082432057408</v>
      </c>
      <c r="M448" s="306">
        <f t="shared" ca="1" si="190"/>
        <v>1.3017815908678891</v>
      </c>
      <c r="N448" s="304">
        <f t="shared" ca="1" si="191"/>
        <v>74.586591004556112</v>
      </c>
      <c r="P448" s="310">
        <f t="shared" ca="1" si="192"/>
        <v>23</v>
      </c>
      <c r="Q448" s="304">
        <f t="shared" ca="1" si="193"/>
        <v>0</v>
      </c>
      <c r="R448" s="306">
        <f t="shared" ca="1" si="194"/>
        <v>0</v>
      </c>
      <c r="S448" s="307">
        <f t="shared" ca="1" si="195"/>
        <v>4.9929999999999914</v>
      </c>
      <c r="T448" s="304">
        <f t="shared" ca="1" si="175"/>
        <v>48.981329999999922</v>
      </c>
      <c r="U448" s="311">
        <f t="shared" ca="1" si="176"/>
        <v>0</v>
      </c>
      <c r="V448" s="306">
        <f t="shared" ca="1" si="177"/>
        <v>1.0335821780322045</v>
      </c>
      <c r="W448" s="304">
        <f t="shared" ca="1" si="178"/>
        <v>44.390714673167473</v>
      </c>
      <c r="Y448" s="314" t="str">
        <f t="shared" ca="1" si="196"/>
        <v/>
      </c>
      <c r="Z448" s="315" t="str">
        <f t="shared" ca="1" si="197"/>
        <v/>
      </c>
      <c r="AA448" s="316" t="str">
        <f t="shared" ca="1" si="198"/>
        <v/>
      </c>
      <c r="AC448" s="310" t="e">
        <f t="shared" ca="1" si="199"/>
        <v>#N/A</v>
      </c>
      <c r="AD448" s="323" t="e">
        <f t="shared" ca="1" si="200"/>
        <v>#N/A</v>
      </c>
      <c r="AE448" s="324">
        <f t="shared" ca="1" si="179"/>
        <v>1695.0264093075298</v>
      </c>
      <c r="AG448" s="306">
        <f t="shared" ca="1" si="201"/>
        <v>-18.654531212718723</v>
      </c>
      <c r="AH448" s="304">
        <f t="shared" ca="1" si="202"/>
        <v>-9.1915286890777228</v>
      </c>
    </row>
    <row r="449" spans="1:34" x14ac:dyDescent="0.2">
      <c r="A449" s="347">
        <f t="shared" ca="1" si="180"/>
        <v>0.1</v>
      </c>
      <c r="B449" s="304">
        <f t="shared" ca="1" si="181"/>
        <v>8.4999999999999432</v>
      </c>
      <c r="D449" s="306">
        <f t="shared" ca="1" si="182"/>
        <v>-2.3629564031338566</v>
      </c>
      <c r="E449" s="307">
        <f t="shared" ca="1" si="183"/>
        <v>-18.380823958220297</v>
      </c>
      <c r="F449" s="304">
        <f t="shared" ca="1" si="184"/>
        <v>18.532087101732404</v>
      </c>
      <c r="G449" s="306">
        <f t="shared" ca="1" si="185"/>
        <v>30.343000925769793</v>
      </c>
      <c r="H449" s="307">
        <f t="shared" ca="1" si="186"/>
        <v>109.07795790289636</v>
      </c>
      <c r="I449" s="304">
        <f t="shared" ca="1" si="187"/>
        <v>113.2196917742108</v>
      </c>
      <c r="J449" s="306">
        <f t="shared" ca="1" si="188"/>
        <v>362.92092570717722</v>
      </c>
      <c r="K449" s="307">
        <f t="shared" ca="1" si="189"/>
        <v>1706.0261092176106</v>
      </c>
      <c r="L449" s="304">
        <f t="shared" ca="1" si="174"/>
        <v>1744.2008725053238</v>
      </c>
      <c r="M449" s="306">
        <f t="shared" ca="1" si="190"/>
        <v>1.2994787042244298</v>
      </c>
      <c r="N449" s="304">
        <f t="shared" ca="1" si="191"/>
        <v>74.454645319188842</v>
      </c>
      <c r="P449" s="310">
        <f t="shared" ca="1" si="192"/>
        <v>23</v>
      </c>
      <c r="Q449" s="304">
        <f t="shared" ca="1" si="193"/>
        <v>0</v>
      </c>
      <c r="R449" s="306">
        <f t="shared" ca="1" si="194"/>
        <v>0</v>
      </c>
      <c r="S449" s="307">
        <f t="shared" ca="1" si="195"/>
        <v>4.9929999999999914</v>
      </c>
      <c r="T449" s="304">
        <f t="shared" ca="1" si="175"/>
        <v>48.981329999999922</v>
      </c>
      <c r="U449" s="311">
        <f t="shared" ca="1" si="176"/>
        <v>0</v>
      </c>
      <c r="V449" s="306">
        <f t="shared" ca="1" si="177"/>
        <v>1.0324376237017341</v>
      </c>
      <c r="W449" s="304">
        <f t="shared" ca="1" si="178"/>
        <v>42.938827174446047</v>
      </c>
      <c r="Y449" s="314" t="str">
        <f t="shared" ca="1" si="196"/>
        <v/>
      </c>
      <c r="Z449" s="315" t="str">
        <f t="shared" ca="1" si="197"/>
        <v/>
      </c>
      <c r="AA449" s="316" t="str">
        <f t="shared" ca="1" si="198"/>
        <v/>
      </c>
      <c r="AC449" s="310" t="e">
        <f t="shared" ca="1" si="199"/>
        <v>#N/A</v>
      </c>
      <c r="AD449" s="323" t="e">
        <f t="shared" ca="1" si="200"/>
        <v>#N/A</v>
      </c>
      <c r="AE449" s="324">
        <f t="shared" ca="1" si="179"/>
        <v>1706.0261092176106</v>
      </c>
      <c r="AG449" s="306">
        <f t="shared" ca="1" si="201"/>
        <v>-18.347755741075741</v>
      </c>
      <c r="AH449" s="304">
        <f t="shared" ca="1" si="202"/>
        <v>-8.8905897602979262</v>
      </c>
    </row>
    <row r="450" spans="1:34" x14ac:dyDescent="0.2">
      <c r="A450" s="347">
        <f t="shared" ca="1" si="180"/>
        <v>0.1</v>
      </c>
      <c r="B450" s="304">
        <f t="shared" ca="1" si="181"/>
        <v>8.5999999999999428</v>
      </c>
      <c r="D450" s="306">
        <f t="shared" ca="1" si="182"/>
        <v>-2.3047571664116568</v>
      </c>
      <c r="E450" s="307">
        <f t="shared" ca="1" si="183"/>
        <v>-18.095212322580174</v>
      </c>
      <c r="F450" s="304">
        <f t="shared" ca="1" si="184"/>
        <v>18.241398372805286</v>
      </c>
      <c r="G450" s="306">
        <f t="shared" ca="1" si="185"/>
        <v>30.112525209128627</v>
      </c>
      <c r="H450" s="307">
        <f t="shared" ca="1" si="186"/>
        <v>107.26843667063834</v>
      </c>
      <c r="I450" s="304">
        <f t="shared" ca="1" si="187"/>
        <v>111.41490780067609</v>
      </c>
      <c r="J450" s="306">
        <f t="shared" ca="1" si="188"/>
        <v>365.94370201392212</v>
      </c>
      <c r="K450" s="307">
        <f t="shared" ca="1" si="189"/>
        <v>1716.8434289462873</v>
      </c>
      <c r="L450" s="304">
        <f t="shared" ca="1" si="174"/>
        <v>1755.4105367576269</v>
      </c>
      <c r="M450" s="306">
        <f t="shared" ca="1" si="190"/>
        <v>1.297118972304159</v>
      </c>
      <c r="N450" s="304">
        <f t="shared" ca="1" si="191"/>
        <v>74.319442639375026</v>
      </c>
      <c r="P450" s="310">
        <f t="shared" ca="1" si="192"/>
        <v>23</v>
      </c>
      <c r="Q450" s="304">
        <f t="shared" ca="1" si="193"/>
        <v>0</v>
      </c>
      <c r="R450" s="306">
        <f t="shared" ca="1" si="194"/>
        <v>0</v>
      </c>
      <c r="S450" s="307">
        <f t="shared" ca="1" si="195"/>
        <v>4.9929999999999914</v>
      </c>
      <c r="T450" s="304">
        <f t="shared" ca="1" si="175"/>
        <v>48.981329999999922</v>
      </c>
      <c r="U450" s="311">
        <f t="shared" ca="1" si="176"/>
        <v>0</v>
      </c>
      <c r="V450" s="306">
        <f t="shared" ca="1" si="177"/>
        <v>1.0313131773878388</v>
      </c>
      <c r="W450" s="304">
        <f t="shared" ca="1" si="178"/>
        <v>41.535514678135598</v>
      </c>
      <c r="Y450" s="314" t="str">
        <f t="shared" ca="1" si="196"/>
        <v/>
      </c>
      <c r="Z450" s="315" t="str">
        <f t="shared" ca="1" si="197"/>
        <v/>
      </c>
      <c r="AA450" s="316" t="str">
        <f t="shared" ca="1" si="198"/>
        <v/>
      </c>
      <c r="AC450" s="310" t="e">
        <f t="shared" ca="1" si="199"/>
        <v>#N/A</v>
      </c>
      <c r="AD450" s="323" t="e">
        <f t="shared" ca="1" si="200"/>
        <v>#N/A</v>
      </c>
      <c r="AE450" s="324">
        <f t="shared" ca="1" si="179"/>
        <v>1716.8434289462873</v>
      </c>
      <c r="AG450" s="306">
        <f t="shared" ca="1" si="201"/>
        <v>-18.050941711413444</v>
      </c>
      <c r="AH450" s="304">
        <f t="shared" ca="1" si="202"/>
        <v>-8.5998051621161871</v>
      </c>
    </row>
    <row r="451" spans="1:34" x14ac:dyDescent="0.2">
      <c r="A451" s="347">
        <f t="shared" ca="1" si="180"/>
        <v>0.1</v>
      </c>
      <c r="B451" s="304">
        <f t="shared" ca="1" si="181"/>
        <v>8.6999999999999424</v>
      </c>
      <c r="D451" s="306">
        <f t="shared" ca="1" si="182"/>
        <v>-2.2483395577042806</v>
      </c>
      <c r="E451" s="307">
        <f t="shared" ca="1" si="183"/>
        <v>-17.819154588821398</v>
      </c>
      <c r="F451" s="304">
        <f t="shared" ca="1" si="184"/>
        <v>17.960437105679045</v>
      </c>
      <c r="G451" s="306">
        <f t="shared" ca="1" si="185"/>
        <v>29.887691253358199</v>
      </c>
      <c r="H451" s="307">
        <f t="shared" ca="1" si="186"/>
        <v>105.4865212117562</v>
      </c>
      <c r="I451" s="304">
        <f t="shared" ca="1" si="187"/>
        <v>109.63886284440547</v>
      </c>
      <c r="J451" s="306">
        <f t="shared" ca="1" si="188"/>
        <v>368.94371283704646</v>
      </c>
      <c r="K451" s="307">
        <f t="shared" ca="1" si="189"/>
        <v>1727.481176840407</v>
      </c>
      <c r="L451" s="304">
        <f t="shared" ca="1" si="174"/>
        <v>1766.4401149147125</v>
      </c>
      <c r="M451" s="306">
        <f t="shared" ca="1" si="190"/>
        <v>1.2947006800791785</v>
      </c>
      <c r="N451" s="304">
        <f t="shared" ca="1" si="191"/>
        <v>74.180884701254342</v>
      </c>
      <c r="P451" s="310">
        <f t="shared" ca="1" si="192"/>
        <v>23</v>
      </c>
      <c r="Q451" s="304">
        <f t="shared" ca="1" si="193"/>
        <v>0</v>
      </c>
      <c r="R451" s="306">
        <f t="shared" ca="1" si="194"/>
        <v>0</v>
      </c>
      <c r="S451" s="307">
        <f t="shared" ca="1" si="195"/>
        <v>4.9929999999999914</v>
      </c>
      <c r="T451" s="304">
        <f t="shared" ca="1" si="175"/>
        <v>48.981329999999922</v>
      </c>
      <c r="U451" s="311">
        <f t="shared" ca="1" si="176"/>
        <v>0</v>
      </c>
      <c r="V451" s="306">
        <f t="shared" ca="1" si="177"/>
        <v>1.0302084892486163</v>
      </c>
      <c r="W451" s="304">
        <f t="shared" ca="1" si="178"/>
        <v>40.178765438397761</v>
      </c>
      <c r="Y451" s="314" t="str">
        <f t="shared" ca="1" si="196"/>
        <v/>
      </c>
      <c r="Z451" s="315" t="str">
        <f t="shared" ca="1" si="197"/>
        <v/>
      </c>
      <c r="AA451" s="316" t="str">
        <f t="shared" ca="1" si="198"/>
        <v/>
      </c>
      <c r="AC451" s="310" t="e">
        <f t="shared" ca="1" si="199"/>
        <v>#N/A</v>
      </c>
      <c r="AD451" s="323" t="e">
        <f t="shared" ca="1" si="200"/>
        <v>#N/A</v>
      </c>
      <c r="AE451" s="324">
        <f t="shared" ca="1" si="179"/>
        <v>1727.481176840407</v>
      </c>
      <c r="AG451" s="306">
        <f t="shared" ca="1" si="201"/>
        <v>-17.763655476752493</v>
      </c>
      <c r="AH451" s="304">
        <f t="shared" ca="1" si="202"/>
        <v>-8.318749184485414</v>
      </c>
    </row>
    <row r="452" spans="1:34" x14ac:dyDescent="0.2">
      <c r="A452" s="347">
        <f t="shared" ca="1" si="180"/>
        <v>0.1</v>
      </c>
      <c r="B452" s="304">
        <f t="shared" ca="1" si="181"/>
        <v>8.7999999999999421</v>
      </c>
      <c r="D452" s="306">
        <f t="shared" ca="1" si="182"/>
        <v>-2.1936274289678295</v>
      </c>
      <c r="E452" s="307">
        <f t="shared" ca="1" si="183"/>
        <v>-17.552254975633325</v>
      </c>
      <c r="F452" s="304">
        <f t="shared" ca="1" si="184"/>
        <v>17.688800299250506</v>
      </c>
      <c r="G452" s="306">
        <f t="shared" ca="1" si="185"/>
        <v>29.668328510461414</v>
      </c>
      <c r="H452" s="307">
        <f t="shared" ca="1" si="186"/>
        <v>103.73129571419287</v>
      </c>
      <c r="I452" s="304">
        <f t="shared" ca="1" si="187"/>
        <v>107.89064568881764</v>
      </c>
      <c r="J452" s="306">
        <f t="shared" ca="1" si="188"/>
        <v>371.92151382523747</v>
      </c>
      <c r="K452" s="307">
        <f t="shared" ca="1" si="189"/>
        <v>1737.9420676867044</v>
      </c>
      <c r="L452" s="304">
        <f t="shared" ref="L452:L515" ca="1" si="203">SQRT(pos_x^2+pos_z^2)</f>
        <v>1777.2923909928816</v>
      </c>
      <c r="M452" s="306">
        <f t="shared" ca="1" si="190"/>
        <v>1.2922220397846658</v>
      </c>
      <c r="N452" s="304">
        <f t="shared" ca="1" si="191"/>
        <v>74.0388690734477</v>
      </c>
      <c r="P452" s="310">
        <f t="shared" ca="1" si="192"/>
        <v>23</v>
      </c>
      <c r="Q452" s="304">
        <f t="shared" ca="1" si="193"/>
        <v>0</v>
      </c>
      <c r="R452" s="306">
        <f t="shared" ca="1" si="194"/>
        <v>0</v>
      </c>
      <c r="S452" s="307">
        <f t="shared" ca="1" si="195"/>
        <v>4.9929999999999914</v>
      </c>
      <c r="T452" s="304">
        <f t="shared" ref="T452:T515" ca="1" si="204">m*g</f>
        <v>48.981329999999922</v>
      </c>
      <c r="U452" s="311">
        <f t="shared" ref="U452:U515" ca="1" si="205">IF(pos_xz&lt;L_rampe,Poids*COS(Beta),0)</f>
        <v>0</v>
      </c>
      <c r="V452" s="306">
        <f t="shared" ref="V452:V515" ca="1" si="206">Rho_moyen*(20000-Alt_rampe-pos_z)/(20000+Alt_rampe+pos_z)</f>
        <v>1.0291232213898549</v>
      </c>
      <c r="W452" s="304">
        <f t="shared" ref="W452:W515" ca="1" si="207">1/2*Rho*Sref*Cx*vit_xz^2</f>
        <v>38.866674320030029</v>
      </c>
      <c r="Y452" s="314" t="str">
        <f t="shared" ca="1" si="196"/>
        <v/>
      </c>
      <c r="Z452" s="315" t="str">
        <f t="shared" ca="1" si="197"/>
        <v/>
      </c>
      <c r="AA452" s="316" t="str">
        <f t="shared" ca="1" si="198"/>
        <v/>
      </c>
      <c r="AC452" s="310" t="e">
        <f t="shared" ca="1" si="199"/>
        <v>#N/A</v>
      </c>
      <c r="AD452" s="323" t="e">
        <f t="shared" ca="1" si="200"/>
        <v>#N/A</v>
      </c>
      <c r="AE452" s="324">
        <f t="shared" ref="AE452:AE515" ca="1" si="208">IF(t&lt;T_para, pos_z, NA())</f>
        <v>1737.9420676867044</v>
      </c>
      <c r="AG452" s="306">
        <f t="shared" ca="1" si="201"/>
        <v>-17.485485770167394</v>
      </c>
      <c r="AH452" s="304">
        <f t="shared" ca="1" si="202"/>
        <v>-8.0470189141593895</v>
      </c>
    </row>
    <row r="453" spans="1:34" x14ac:dyDescent="0.2">
      <c r="A453" s="347">
        <f t="shared" ref="A453:A516" ca="1" si="209">IF(B452+0.01&lt;=T_ini+ROUNDUP(Temps_fin_propu,0), 0.01, IF(K452&gt;0, 0.1, 0.0001))</f>
        <v>0.1</v>
      </c>
      <c r="B453" s="304">
        <f t="shared" ref="B453:B516" ca="1" si="210">B452+pas</f>
        <v>8.8999999999999417</v>
      </c>
      <c r="D453" s="306">
        <f t="shared" ref="D453:D516" ca="1" si="211">IF(AND(L452&lt;L_rampe,Poussee&lt;Poids*SIN(M452)),0,(-W452+Poussee)/m*COS(M452)-U452/m*SIN(M452))</f>
        <v>-2.1405486466279267</v>
      </c>
      <c r="E453" s="307">
        <f t="shared" ref="E453:E516" ca="1" si="212">IF(AND(L452&lt;L_rampe,Poussee&lt;Poids*SIN(M452)),0,(-W452+Poussee)/m*SIN(M452)+U452/m*COS(M452)-Poids/m)</f>
        <v>-17.294138669142825</v>
      </c>
      <c r="F453" s="304">
        <f t="shared" ref="F453:F516" ca="1" si="213">SQRT(acc_x^2+acc_z^2)</f>
        <v>17.426106301068</v>
      </c>
      <c r="G453" s="306">
        <f t="shared" ref="G453:G516" ca="1" si="214">G452+acc_x*pas</f>
        <v>29.454273645798622</v>
      </c>
      <c r="H453" s="307">
        <f t="shared" ref="H453:H516" ca="1" si="215">H452+acc_z*pas</f>
        <v>102.00188184727858</v>
      </c>
      <c r="I453" s="304">
        <f t="shared" ref="I453:I516" ca="1" si="216">SQRT(vit_x^2+vit_z^2)</f>
        <v>106.16938417636116</v>
      </c>
      <c r="J453" s="306">
        <f t="shared" ref="J453:J516" ca="1" si="217">J452+0.5*(vit_x+G452)*pas*(K452&gt;=0)</f>
        <v>374.87764393305048</v>
      </c>
      <c r="K453" s="307">
        <f t="shared" ref="K453:K516" ca="1" si="218">K452+0.5*(vit_z+H452)*pas</f>
        <v>1748.2287265647778</v>
      </c>
      <c r="L453" s="304">
        <f t="shared" ca="1" si="203"/>
        <v>1787.9700580007204</v>
      </c>
      <c r="M453" s="306">
        <f t="shared" ref="M453:M516" ca="1" si="219">IF(AND(L452&gt;L_rampe,G453&gt;0),ATAN2(G453,H453),$M$4)</f>
        <v>1.2896811872320189</v>
      </c>
      <c r="N453" s="304">
        <f t="shared" ref="N453:N516" ca="1" si="220">DEGREES(Beta)</f>
        <v>73.893288945815996</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4.9929999999999914</v>
      </c>
      <c r="T453" s="304">
        <f t="shared" ca="1" si="204"/>
        <v>48.981329999999922</v>
      </c>
      <c r="U453" s="311">
        <f t="shared" ca="1" si="205"/>
        <v>0</v>
      </c>
      <c r="V453" s="306">
        <f t="shared" ca="1" si="206"/>
        <v>1.0280570473607371</v>
      </c>
      <c r="W453" s="304">
        <f t="shared" ca="1" si="207"/>
        <v>37.597436115818432</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f t="shared" ca="1" si="208"/>
        <v>1748.2287265647778</v>
      </c>
      <c r="AG453" s="306">
        <f t="shared" ref="AG453:AG516" ca="1" si="230">IF(AND(L452&lt;L_rampe,Poussee&lt;Poids*SIN(M452)),0,(-W452+Poussee)/m-Poids*SIN(M452)/m)</f>
        <v>-17.216042234182392</v>
      </c>
      <c r="AH453" s="304">
        <f t="shared" ref="AH453:AH516" ca="1" si="231">IF(AND(L452&lt;L_rampe,Poussee&lt;Poids*SIN(M452)), g*SIN(M452), (-W452+Poussee)/m)</f>
        <v>-7.7842327899118962</v>
      </c>
    </row>
    <row r="454" spans="1:34" x14ac:dyDescent="0.2">
      <c r="A454" s="347">
        <f t="shared" ca="1" si="209"/>
        <v>0.1</v>
      </c>
      <c r="B454" s="304">
        <f t="shared" ca="1" si="210"/>
        <v>8.9999999999999414</v>
      </c>
      <c r="D454" s="306">
        <f t="shared" ca="1" si="211"/>
        <v>-2.08903484019682</v>
      </c>
      <c r="E454" s="307">
        <f t="shared" ca="1" si="212"/>
        <v>-17.044450508169266</v>
      </c>
      <c r="F454" s="304">
        <f t="shared" ca="1" si="213"/>
        <v>17.171993468697444</v>
      </c>
      <c r="G454" s="306">
        <f t="shared" ca="1" si="214"/>
        <v>29.24537016177894</v>
      </c>
      <c r="H454" s="307">
        <f t="shared" ca="1" si="215"/>
        <v>100.29743679646165</v>
      </c>
      <c r="I454" s="304">
        <f t="shared" ca="1" si="216"/>
        <v>104.47424325564502</v>
      </c>
      <c r="J454" s="306">
        <f t="shared" ca="1" si="217"/>
        <v>377.81262612342937</v>
      </c>
      <c r="K454" s="307">
        <f t="shared" ca="1" si="218"/>
        <v>1758.3436924969649</v>
      </c>
      <c r="L454" s="304">
        <f t="shared" ca="1" si="203"/>
        <v>1798.4757216604687</v>
      </c>
      <c r="M454" s="306">
        <f t="shared" ca="1" si="219"/>
        <v>1.2870761778993476</v>
      </c>
      <c r="N454" s="304">
        <f t="shared" ca="1" si="220"/>
        <v>73.744032905461737</v>
      </c>
      <c r="P454" s="310">
        <f t="shared" ca="1" si="221"/>
        <v>23</v>
      </c>
      <c r="Q454" s="304">
        <f t="shared" ca="1" si="222"/>
        <v>0</v>
      </c>
      <c r="R454" s="306">
        <f t="shared" ca="1" si="223"/>
        <v>0</v>
      </c>
      <c r="S454" s="307">
        <f t="shared" ca="1" si="224"/>
        <v>4.9929999999999914</v>
      </c>
      <c r="T454" s="304">
        <f t="shared" ca="1" si="204"/>
        <v>48.981329999999922</v>
      </c>
      <c r="U454" s="311">
        <f t="shared" ca="1" si="205"/>
        <v>0</v>
      </c>
      <c r="V454" s="306">
        <f t="shared" ca="1" si="206"/>
        <v>1.0270096516766076</v>
      </c>
      <c r="W454" s="304">
        <f t="shared" ca="1" si="207"/>
        <v>36.369339350723848</v>
      </c>
      <c r="Y454" s="314" t="str">
        <f t="shared" ca="1" si="225"/>
        <v/>
      </c>
      <c r="Z454" s="315" t="str">
        <f t="shared" ca="1" si="226"/>
        <v/>
      </c>
      <c r="AA454" s="316" t="str">
        <f t="shared" ca="1" si="227"/>
        <v/>
      </c>
      <c r="AC454" s="310">
        <f t="shared" ca="1" si="228"/>
        <v>8.9999999999999414</v>
      </c>
      <c r="AD454" s="323">
        <f t="shared" ca="1" si="229"/>
        <v>377.81262612342937</v>
      </c>
      <c r="AE454" s="324">
        <f t="shared" ca="1" si="208"/>
        <v>1758.3436924969649</v>
      </c>
      <c r="AG454" s="306">
        <f t="shared" ca="1" si="230"/>
        <v>-16.95495405468904</v>
      </c>
      <c r="AH454" s="304">
        <f t="shared" ca="1" si="231"/>
        <v>-7.5300292641334865</v>
      </c>
    </row>
    <row r="455" spans="1:34" x14ac:dyDescent="0.2">
      <c r="A455" s="347">
        <f t="shared" ca="1" si="209"/>
        <v>0.1</v>
      </c>
      <c r="B455" s="304">
        <f t="shared" ca="1" si="210"/>
        <v>9.099999999999941</v>
      </c>
      <c r="D455" s="306">
        <f t="shared" ca="1" si="211"/>
        <v>-2.0390211692664488</v>
      </c>
      <c r="E455" s="307">
        <f t="shared" ca="1" si="212"/>
        <v>-16.802853765223432</v>
      </c>
      <c r="F455" s="304">
        <f t="shared" ca="1" si="213"/>
        <v>16.926118928573082</v>
      </c>
      <c r="G455" s="306">
        <f t="shared" ca="1" si="214"/>
        <v>29.041468044852294</v>
      </c>
      <c r="H455" s="307">
        <f t="shared" ca="1" si="215"/>
        <v>98.617151419939304</v>
      </c>
      <c r="I455" s="304">
        <f t="shared" ca="1" si="216"/>
        <v>102.80442315573495</v>
      </c>
      <c r="J455" s="306">
        <f t="shared" ca="1" si="217"/>
        <v>380.72696803376095</v>
      </c>
      <c r="K455" s="307">
        <f t="shared" ca="1" si="218"/>
        <v>1768.289421907785</v>
      </c>
      <c r="L455" s="304">
        <f t="shared" ca="1" si="203"/>
        <v>1808.8119039356052</v>
      </c>
      <c r="M455" s="306">
        <f t="shared" ca="1" si="219"/>
        <v>1.2844049827841399</v>
      </c>
      <c r="N455" s="304">
        <f t="shared" ca="1" si="220"/>
        <v>73.590984699104382</v>
      </c>
      <c r="P455" s="310">
        <f t="shared" ca="1" si="221"/>
        <v>23</v>
      </c>
      <c r="Q455" s="304">
        <f t="shared" ca="1" si="222"/>
        <v>0</v>
      </c>
      <c r="R455" s="306">
        <f t="shared" ca="1" si="223"/>
        <v>0</v>
      </c>
      <c r="S455" s="307">
        <f t="shared" ca="1" si="224"/>
        <v>4.9929999999999914</v>
      </c>
      <c r="T455" s="304">
        <f t="shared" ca="1" si="204"/>
        <v>48.981329999999922</v>
      </c>
      <c r="U455" s="311">
        <f t="shared" ca="1" si="205"/>
        <v>0</v>
      </c>
      <c r="V455" s="306">
        <f t="shared" ca="1" si="206"/>
        <v>1.0259807293670946</v>
      </c>
      <c r="W455" s="304">
        <f t="shared" ca="1" si="207"/>
        <v>35.180760532718139</v>
      </c>
      <c r="Y455" s="314" t="str">
        <f t="shared" ca="1" si="225"/>
        <v/>
      </c>
      <c r="Z455" s="315" t="str">
        <f t="shared" ca="1" si="226"/>
        <v/>
      </c>
      <c r="AA455" s="316" t="str">
        <f t="shared" ca="1" si="227"/>
        <v/>
      </c>
      <c r="AC455" s="310" t="e">
        <f t="shared" ca="1" si="228"/>
        <v>#N/A</v>
      </c>
      <c r="AD455" s="323" t="e">
        <f t="shared" ca="1" si="229"/>
        <v>#N/A</v>
      </c>
      <c r="AE455" s="324">
        <f t="shared" ca="1" si="208"/>
        <v>1768.289421907785</v>
      </c>
      <c r="AG455" s="306">
        <f t="shared" ca="1" si="230"/>
        <v>-16.701868690360705</v>
      </c>
      <c r="AH455" s="304">
        <f t="shared" ca="1" si="231"/>
        <v>-7.2840655619314862</v>
      </c>
    </row>
    <row r="456" spans="1:34" x14ac:dyDescent="0.2">
      <c r="A456" s="347">
        <f t="shared" ca="1" si="209"/>
        <v>0.1</v>
      </c>
      <c r="B456" s="304">
        <f t="shared" ca="1" si="210"/>
        <v>9.1999999999999407</v>
      </c>
      <c r="D456" s="306">
        <f t="shared" ca="1" si="211"/>
        <v>-1.990446107366137</v>
      </c>
      <c r="E456" s="307">
        <f t="shared" ca="1" si="212"/>
        <v>-16.569029015344441</v>
      </c>
      <c r="F456" s="304">
        <f t="shared" ca="1" si="213"/>
        <v>16.688157424283094</v>
      </c>
      <c r="G456" s="306">
        <f t="shared" ca="1" si="214"/>
        <v>28.84242343411568</v>
      </c>
      <c r="H456" s="307">
        <f t="shared" ca="1" si="215"/>
        <v>96.960248518404853</v>
      </c>
      <c r="I456" s="304">
        <f t="shared" ca="1" si="216"/>
        <v>101.15915767889557</v>
      </c>
      <c r="J456" s="306">
        <f t="shared" ca="1" si="217"/>
        <v>383.62116260770938</v>
      </c>
      <c r="K456" s="307">
        <f t="shared" ca="1" si="218"/>
        <v>1778.0682919047022</v>
      </c>
      <c r="L456" s="304">
        <f t="shared" ca="1" si="203"/>
        <v>1818.9810463766235</v>
      </c>
      <c r="M456" s="306">
        <f t="shared" ca="1" si="219"/>
        <v>1.281665484001796</v>
      </c>
      <c r="N456" s="304">
        <f t="shared" ca="1" si="220"/>
        <v>73.434022980894838</v>
      </c>
      <c r="P456" s="310">
        <f t="shared" ca="1" si="221"/>
        <v>23</v>
      </c>
      <c r="Q456" s="304">
        <f t="shared" ca="1" si="222"/>
        <v>0</v>
      </c>
      <c r="R456" s="306">
        <f t="shared" ca="1" si="223"/>
        <v>0</v>
      </c>
      <c r="S456" s="307">
        <f t="shared" ca="1" si="224"/>
        <v>4.9929999999999914</v>
      </c>
      <c r="T456" s="304">
        <f t="shared" ca="1" si="204"/>
        <v>48.981329999999922</v>
      </c>
      <c r="U456" s="311">
        <f t="shared" ca="1" si="205"/>
        <v>0</v>
      </c>
      <c r="V456" s="306">
        <f t="shared" ca="1" si="206"/>
        <v>1.0249699855479917</v>
      </c>
      <c r="W456" s="304">
        <f t="shared" ca="1" si="207"/>
        <v>34.030158813788645</v>
      </c>
      <c r="Y456" s="314" t="str">
        <f t="shared" ca="1" si="225"/>
        <v/>
      </c>
      <c r="Z456" s="315" t="str">
        <f t="shared" ca="1" si="226"/>
        <v/>
      </c>
      <c r="AA456" s="316" t="str">
        <f t="shared" ca="1" si="227"/>
        <v/>
      </c>
      <c r="AC456" s="310" t="e">
        <f t="shared" ca="1" si="228"/>
        <v>#N/A</v>
      </c>
      <c r="AD456" s="323" t="e">
        <f t="shared" ca="1" si="229"/>
        <v>#N/A</v>
      </c>
      <c r="AE456" s="324">
        <f t="shared" ca="1" si="208"/>
        <v>1778.0682919047022</v>
      </c>
      <c r="AG456" s="306">
        <f t="shared" ca="1" si="230"/>
        <v>-16.456450689352348</v>
      </c>
      <c r="AH456" s="304">
        <f t="shared" ca="1" si="231"/>
        <v>-7.0460165296851995</v>
      </c>
    </row>
    <row r="457" spans="1:34" x14ac:dyDescent="0.2">
      <c r="A457" s="347">
        <f t="shared" ca="1" si="209"/>
        <v>0.1</v>
      </c>
      <c r="B457" s="304">
        <f t="shared" ca="1" si="210"/>
        <v>9.2999999999999403</v>
      </c>
      <c r="D457" s="306">
        <f t="shared" ca="1" si="211"/>
        <v>-1.943251241313295</v>
      </c>
      <c r="E457" s="307">
        <f t="shared" ca="1" si="212"/>
        <v>-16.342673085596864</v>
      </c>
      <c r="F457" s="304">
        <f t="shared" ca="1" si="213"/>
        <v>16.457800246981911</v>
      </c>
      <c r="G457" s="306">
        <f t="shared" ca="1" si="214"/>
        <v>28.648098309984352</v>
      </c>
      <c r="H457" s="307">
        <f t="shared" ca="1" si="215"/>
        <v>95.325981209845168</v>
      </c>
      <c r="I457" s="304">
        <f t="shared" ca="1" si="216"/>
        <v>99.537712603808032</v>
      </c>
      <c r="J457" s="306">
        <f t="shared" ca="1" si="217"/>
        <v>386.49568869491441</v>
      </c>
      <c r="K457" s="307">
        <f t="shared" ca="1" si="218"/>
        <v>1787.6826033911148</v>
      </c>
      <c r="L457" s="304">
        <f t="shared" ca="1" si="203"/>
        <v>1828.9855132960977</v>
      </c>
      <c r="M457" s="306">
        <f t="shared" ca="1" si="219"/>
        <v>1.2788554701124868</v>
      </c>
      <c r="N457" s="304">
        <f t="shared" ca="1" si="220"/>
        <v>73.27302104466429</v>
      </c>
      <c r="P457" s="310">
        <f t="shared" ca="1" si="221"/>
        <v>23</v>
      </c>
      <c r="Q457" s="304">
        <f t="shared" ca="1" si="222"/>
        <v>0</v>
      </c>
      <c r="R457" s="306">
        <f t="shared" ca="1" si="223"/>
        <v>0</v>
      </c>
      <c r="S457" s="307">
        <f t="shared" ca="1" si="224"/>
        <v>4.9929999999999914</v>
      </c>
      <c r="T457" s="304">
        <f t="shared" ca="1" si="204"/>
        <v>48.981329999999922</v>
      </c>
      <c r="U457" s="311">
        <f t="shared" ca="1" si="205"/>
        <v>0</v>
      </c>
      <c r="V457" s="306">
        <f t="shared" ca="1" si="206"/>
        <v>1.023977135015427</v>
      </c>
      <c r="W457" s="304">
        <f t="shared" ca="1" si="207"/>
        <v>32.916071027956512</v>
      </c>
      <c r="Y457" s="314" t="str">
        <f t="shared" ca="1" si="225"/>
        <v/>
      </c>
      <c r="Z457" s="315" t="str">
        <f t="shared" ca="1" si="226"/>
        <v/>
      </c>
      <c r="AA457" s="316" t="str">
        <f t="shared" ca="1" si="227"/>
        <v/>
      </c>
      <c r="AC457" s="310" t="e">
        <f t="shared" ca="1" si="228"/>
        <v>#N/A</v>
      </c>
      <c r="AD457" s="323" t="e">
        <f t="shared" ca="1" si="229"/>
        <v>#N/A</v>
      </c>
      <c r="AE457" s="324">
        <f t="shared" ca="1" si="208"/>
        <v>1787.6826033911148</v>
      </c>
      <c r="AG457" s="306">
        <f t="shared" ca="1" si="230"/>
        <v>-16.218380585800659</v>
      </c>
      <c r="AH457" s="304">
        <f t="shared" ca="1" si="231"/>
        <v>-6.8155735657497907</v>
      </c>
    </row>
    <row r="458" spans="1:34" x14ac:dyDescent="0.2">
      <c r="A458" s="347">
        <f t="shared" ca="1" si="209"/>
        <v>0.1</v>
      </c>
      <c r="B458" s="304">
        <f t="shared" ca="1" si="210"/>
        <v>9.39999999999994</v>
      </c>
      <c r="D458" s="306">
        <f t="shared" ca="1" si="211"/>
        <v>-1.8973810848111459</v>
      </c>
      <c r="E458" s="307">
        <f t="shared" ca="1" si="212"/>
        <v>-16.123498078704465</v>
      </c>
      <c r="F458" s="304">
        <f t="shared" ca="1" si="213"/>
        <v>16.234754241286982</v>
      </c>
      <c r="G458" s="306">
        <f t="shared" ca="1" si="214"/>
        <v>28.458360201503236</v>
      </c>
      <c r="H458" s="307">
        <f t="shared" ca="1" si="215"/>
        <v>93.713631401974723</v>
      </c>
      <c r="I458" s="304">
        <f t="shared" ca="1" si="216"/>
        <v>97.939384191977069</v>
      </c>
      <c r="J458" s="306">
        <f t="shared" ca="1" si="217"/>
        <v>389.3510116204888</v>
      </c>
      <c r="K458" s="307">
        <f t="shared" ca="1" si="218"/>
        <v>1797.1345840217057</v>
      </c>
      <c r="L458" s="304">
        <f t="shared" ca="1" si="203"/>
        <v>1838.8275947833629</v>
      </c>
      <c r="M458" s="306">
        <f t="shared" ca="1" si="219"/>
        <v>1.2759726311574671</v>
      </c>
      <c r="N458" s="304">
        <f t="shared" ca="1" si="220"/>
        <v>73.107846539525752</v>
      </c>
      <c r="P458" s="310">
        <f t="shared" ca="1" si="221"/>
        <v>23</v>
      </c>
      <c r="Q458" s="304">
        <f t="shared" ca="1" si="222"/>
        <v>0</v>
      </c>
      <c r="R458" s="306">
        <f t="shared" ca="1" si="223"/>
        <v>0</v>
      </c>
      <c r="S458" s="307">
        <f t="shared" ca="1" si="224"/>
        <v>4.9929999999999914</v>
      </c>
      <c r="T458" s="304">
        <f t="shared" ca="1" si="204"/>
        <v>48.981329999999922</v>
      </c>
      <c r="U458" s="311">
        <f t="shared" ca="1" si="205"/>
        <v>0</v>
      </c>
      <c r="V458" s="306">
        <f t="shared" ca="1" si="206"/>
        <v>1.0230019018609553</v>
      </c>
      <c r="W458" s="304">
        <f t="shared" ca="1" si="207"/>
        <v>31.837107076146804</v>
      </c>
      <c r="Y458" s="314" t="str">
        <f t="shared" ca="1" si="225"/>
        <v/>
      </c>
      <c r="Z458" s="315" t="str">
        <f t="shared" ca="1" si="226"/>
        <v/>
      </c>
      <c r="AA458" s="316" t="str">
        <f t="shared" ca="1" si="227"/>
        <v/>
      </c>
      <c r="AC458" s="310" t="e">
        <f t="shared" ca="1" si="228"/>
        <v>#N/A</v>
      </c>
      <c r="AD458" s="323" t="e">
        <f t="shared" ca="1" si="229"/>
        <v>#N/A</v>
      </c>
      <c r="AE458" s="324">
        <f t="shared" ca="1" si="208"/>
        <v>1797.1345840217057</v>
      </c>
      <c r="AG458" s="306">
        <f t="shared" ca="1" si="230"/>
        <v>-15.987353869289649</v>
      </c>
      <c r="AH458" s="304">
        <f t="shared" ca="1" si="231"/>
        <v>-6.5924436266686497</v>
      </c>
    </row>
    <row r="459" spans="1:34" x14ac:dyDescent="0.2">
      <c r="A459" s="347">
        <f t="shared" ca="1" si="209"/>
        <v>0.1</v>
      </c>
      <c r="B459" s="304">
        <f t="shared" ca="1" si="210"/>
        <v>9.4999999999999396</v>
      </c>
      <c r="D459" s="306">
        <f t="shared" ca="1" si="211"/>
        <v>-1.8527829051605342</v>
      </c>
      <c r="E459" s="307">
        <f t="shared" ca="1" si="212"/>
        <v>-15.911230464885417</v>
      </c>
      <c r="F459" s="304">
        <f t="shared" ca="1" si="213"/>
        <v>16.018740880617081</v>
      </c>
      <c r="G459" s="306">
        <f t="shared" ca="1" si="214"/>
        <v>28.273081910987184</v>
      </c>
      <c r="H459" s="307">
        <f t="shared" ca="1" si="215"/>
        <v>92.122508355486175</v>
      </c>
      <c r="I459" s="304">
        <f t="shared" ca="1" si="216"/>
        <v>96.363497790667665</v>
      </c>
      <c r="J459" s="306">
        <f t="shared" ca="1" si="217"/>
        <v>392.1875837261133</v>
      </c>
      <c r="K459" s="307">
        <f t="shared" ca="1" si="218"/>
        <v>1806.4263910095788</v>
      </c>
      <c r="L459" s="304">
        <f t="shared" ca="1" si="203"/>
        <v>1848.5095095684032</v>
      </c>
      <c r="M459" s="306">
        <f t="shared" ca="1" si="219"/>
        <v>1.2730145533845356</v>
      </c>
      <c r="N459" s="304">
        <f t="shared" ca="1" si="220"/>
        <v>72.93836116766532</v>
      </c>
      <c r="P459" s="310">
        <f t="shared" ca="1" si="221"/>
        <v>23</v>
      </c>
      <c r="Q459" s="304">
        <f t="shared" ca="1" si="222"/>
        <v>0</v>
      </c>
      <c r="R459" s="306">
        <f t="shared" ca="1" si="223"/>
        <v>0</v>
      </c>
      <c r="S459" s="307">
        <f t="shared" ca="1" si="224"/>
        <v>4.9929999999999914</v>
      </c>
      <c r="T459" s="304">
        <f t="shared" ca="1" si="204"/>
        <v>48.981329999999922</v>
      </c>
      <c r="U459" s="311">
        <f t="shared" ca="1" si="205"/>
        <v>0</v>
      </c>
      <c r="V459" s="306">
        <f t="shared" ca="1" si="206"/>
        <v>1.0220440191063067</v>
      </c>
      <c r="W459" s="304">
        <f t="shared" ca="1" si="207"/>
        <v>30.791945630443589</v>
      </c>
      <c r="Y459" s="314" t="str">
        <f t="shared" ca="1" si="225"/>
        <v/>
      </c>
      <c r="Z459" s="315" t="str">
        <f t="shared" ca="1" si="226"/>
        <v/>
      </c>
      <c r="AA459" s="316" t="str">
        <f t="shared" ca="1" si="227"/>
        <v/>
      </c>
      <c r="AC459" s="310" t="e">
        <f t="shared" ca="1" si="228"/>
        <v>#N/A</v>
      </c>
      <c r="AD459" s="323" t="e">
        <f t="shared" ca="1" si="229"/>
        <v>#N/A</v>
      </c>
      <c r="AE459" s="324">
        <f t="shared" ca="1" si="208"/>
        <v>1806.4263910095788</v>
      </c>
      <c r="AG459" s="306">
        <f t="shared" ca="1" si="230"/>
        <v>-15.763080021028507</v>
      </c>
      <c r="AH459" s="304">
        <f t="shared" ca="1" si="231"/>
        <v>-6.3763483028533665</v>
      </c>
    </row>
    <row r="460" spans="1:34" x14ac:dyDescent="0.2">
      <c r="A460" s="347">
        <f t="shared" ca="1" si="209"/>
        <v>0.1</v>
      </c>
      <c r="B460" s="304">
        <f t="shared" ca="1" si="210"/>
        <v>9.5999999999999392</v>
      </c>
      <c r="D460" s="306">
        <f t="shared" ca="1" si="211"/>
        <v>-1.8094065620547488</v>
      </c>
      <c r="E460" s="307">
        <f t="shared" ca="1" si="212"/>
        <v>-15.705610236483771</v>
      </c>
      <c r="F460" s="304">
        <f t="shared" ca="1" si="213"/>
        <v>15.809495406468564</v>
      </c>
      <c r="G460" s="306">
        <f t="shared" ca="1" si="214"/>
        <v>28.092141254781708</v>
      </c>
      <c r="H460" s="307">
        <f t="shared" ca="1" si="215"/>
        <v>90.551947331837795</v>
      </c>
      <c r="I460" s="304">
        <f t="shared" ca="1" si="216"/>
        <v>94.809406526285855</v>
      </c>
      <c r="J460" s="306">
        <f t="shared" ca="1" si="217"/>
        <v>395.00584488440177</v>
      </c>
      <c r="K460" s="307">
        <f t="shared" ca="1" si="218"/>
        <v>1815.560113793945</v>
      </c>
      <c r="L460" s="304">
        <f t="shared" ca="1" si="203"/>
        <v>1858.0334077438765</v>
      </c>
      <c r="M460" s="306">
        <f t="shared" ca="1" si="219"/>
        <v>1.2699787136407901</v>
      </c>
      <c r="N460" s="304">
        <f t="shared" ca="1" si="220"/>
        <v>72.764420363070627</v>
      </c>
      <c r="P460" s="310">
        <f t="shared" ca="1" si="221"/>
        <v>23</v>
      </c>
      <c r="Q460" s="304">
        <f t="shared" ca="1" si="222"/>
        <v>0</v>
      </c>
      <c r="R460" s="306">
        <f t="shared" ca="1" si="223"/>
        <v>0</v>
      </c>
      <c r="S460" s="307">
        <f t="shared" ca="1" si="224"/>
        <v>4.9929999999999914</v>
      </c>
      <c r="T460" s="304">
        <f t="shared" ca="1" si="204"/>
        <v>48.981329999999922</v>
      </c>
      <c r="U460" s="311">
        <f t="shared" ca="1" si="205"/>
        <v>0</v>
      </c>
      <c r="V460" s="306">
        <f t="shared" ca="1" si="206"/>
        <v>1.0211032283565975</v>
      </c>
      <c r="W460" s="304">
        <f t="shared" ca="1" si="207"/>
        <v>29.779330132691694</v>
      </c>
      <c r="Y460" s="314" t="str">
        <f t="shared" ca="1" si="225"/>
        <v/>
      </c>
      <c r="Z460" s="315" t="str">
        <f t="shared" ca="1" si="226"/>
        <v/>
      </c>
      <c r="AA460" s="316" t="str">
        <f t="shared" ca="1" si="227"/>
        <v/>
      </c>
      <c r="AC460" s="310" t="e">
        <f t="shared" ca="1" si="228"/>
        <v>#N/A</v>
      </c>
      <c r="AD460" s="323" t="e">
        <f t="shared" ca="1" si="229"/>
        <v>#N/A</v>
      </c>
      <c r="AE460" s="324">
        <f t="shared" ca="1" si="208"/>
        <v>1815.560113793945</v>
      </c>
      <c r="AG460" s="306">
        <f t="shared" ca="1" si="230"/>
        <v>-15.545281611008633</v>
      </c>
      <c r="AH460" s="304">
        <f t="shared" ca="1" si="231"/>
        <v>-6.1670229582302509</v>
      </c>
    </row>
    <row r="461" spans="1:34" x14ac:dyDescent="0.2">
      <c r="A461" s="347">
        <f t="shared" ca="1" si="209"/>
        <v>0.1</v>
      </c>
      <c r="B461" s="304">
        <f t="shared" ca="1" si="210"/>
        <v>9.6999999999999389</v>
      </c>
      <c r="D461" s="306">
        <f t="shared" ca="1" si="211"/>
        <v>-1.7672043575180907</v>
      </c>
      <c r="E461" s="307">
        <f t="shared" ca="1" si="212"/>
        <v>-15.50639012046951</v>
      </c>
      <c r="F461" s="304">
        <f t="shared" ca="1" si="213"/>
        <v>15.606766026612474</v>
      </c>
      <c r="G461" s="306">
        <f t="shared" ca="1" si="214"/>
        <v>27.915420819029901</v>
      </c>
      <c r="H461" s="307">
        <f t="shared" ca="1" si="215"/>
        <v>89.001308319790837</v>
      </c>
      <c r="I461" s="304">
        <f t="shared" ca="1" si="216"/>
        <v>93.27649008264622</v>
      </c>
      <c r="J461" s="306">
        <f t="shared" ca="1" si="217"/>
        <v>397.80622298809237</v>
      </c>
      <c r="K461" s="307">
        <f t="shared" ca="1" si="218"/>
        <v>1824.5377765765263</v>
      </c>
      <c r="L461" s="304">
        <f t="shared" ca="1" si="203"/>
        <v>1867.4013733535878</v>
      </c>
      <c r="M461" s="306">
        <f t="shared" ca="1" si="219"/>
        <v>1.2668624734091463</v>
      </c>
      <c r="N461" s="304">
        <f t="shared" ca="1" si="220"/>
        <v>72.585872949848564</v>
      </c>
      <c r="P461" s="310">
        <f t="shared" ca="1" si="221"/>
        <v>23</v>
      </c>
      <c r="Q461" s="304">
        <f t="shared" ca="1" si="222"/>
        <v>0</v>
      </c>
      <c r="R461" s="306">
        <f t="shared" ca="1" si="223"/>
        <v>0</v>
      </c>
      <c r="S461" s="307">
        <f t="shared" ca="1" si="224"/>
        <v>4.9929999999999914</v>
      </c>
      <c r="T461" s="304">
        <f t="shared" ca="1" si="204"/>
        <v>48.981329999999922</v>
      </c>
      <c r="U461" s="311">
        <f t="shared" ca="1" si="205"/>
        <v>0</v>
      </c>
      <c r="V461" s="306">
        <f t="shared" ca="1" si="206"/>
        <v>1.0201792794709219</v>
      </c>
      <c r="W461" s="304">
        <f t="shared" ca="1" si="207"/>
        <v>28.798065064600706</v>
      </c>
      <c r="Y461" s="314" t="str">
        <f t="shared" ca="1" si="225"/>
        <v/>
      </c>
      <c r="Z461" s="315" t="str">
        <f t="shared" ca="1" si="226"/>
        <v/>
      </c>
      <c r="AA461" s="316" t="str">
        <f t="shared" ca="1" si="227"/>
        <v/>
      </c>
      <c r="AC461" s="310" t="e">
        <f t="shared" ca="1" si="228"/>
        <v>#N/A</v>
      </c>
      <c r="AD461" s="323" t="e">
        <f t="shared" ca="1" si="229"/>
        <v>#N/A</v>
      </c>
      <c r="AE461" s="324">
        <f t="shared" ca="1" si="208"/>
        <v>1824.5377765765263</v>
      </c>
      <c r="AG461" s="306">
        <f t="shared" ca="1" si="230"/>
        <v>-15.333693450871774</v>
      </c>
      <c r="AH461" s="304">
        <f t="shared" ca="1" si="231"/>
        <v>-5.9642159288387235</v>
      </c>
    </row>
    <row r="462" spans="1:34" x14ac:dyDescent="0.2">
      <c r="A462" s="347">
        <f t="shared" ca="1" si="209"/>
        <v>0.1</v>
      </c>
      <c r="B462" s="304">
        <f t="shared" ca="1" si="210"/>
        <v>9.7999999999999385</v>
      </c>
      <c r="D462" s="306">
        <f t="shared" ca="1" si="211"/>
        <v>-1.7261308961320125</v>
      </c>
      <c r="E462" s="307">
        <f t="shared" ca="1" si="212"/>
        <v>-15.313334844310647</v>
      </c>
      <c r="F462" s="304">
        <f t="shared" ca="1" si="213"/>
        <v>15.410313167634202</v>
      </c>
      <c r="G462" s="306">
        <f t="shared" ca="1" si="214"/>
        <v>27.7428077294167</v>
      </c>
      <c r="H462" s="307">
        <f t="shared" ca="1" si="215"/>
        <v>87.469974835359778</v>
      </c>
      <c r="I462" s="304">
        <f t="shared" ca="1" si="216"/>
        <v>91.76415355905516</v>
      </c>
      <c r="J462" s="306">
        <f t="shared" ca="1" si="217"/>
        <v>400.58913441551471</v>
      </c>
      <c r="K462" s="307">
        <f t="shared" ca="1" si="218"/>
        <v>1833.3613407342839</v>
      </c>
      <c r="L462" s="304">
        <f t="shared" ca="1" si="203"/>
        <v>1876.615426855162</v>
      </c>
      <c r="M462" s="306">
        <f t="shared" ca="1" si="219"/>
        <v>1.2636630724632925</v>
      </c>
      <c r="N462" s="304">
        <f t="shared" ca="1" si="220"/>
        <v>72.402560778680979</v>
      </c>
      <c r="P462" s="310">
        <f t="shared" ca="1" si="221"/>
        <v>23</v>
      </c>
      <c r="Q462" s="304">
        <f t="shared" ca="1" si="222"/>
        <v>0</v>
      </c>
      <c r="R462" s="306">
        <f t="shared" ca="1" si="223"/>
        <v>0</v>
      </c>
      <c r="S462" s="307">
        <f t="shared" ca="1" si="224"/>
        <v>4.9929999999999914</v>
      </c>
      <c r="T462" s="304">
        <f t="shared" ca="1" si="204"/>
        <v>48.981329999999922</v>
      </c>
      <c r="U462" s="311">
        <f t="shared" ca="1" si="205"/>
        <v>0</v>
      </c>
      <c r="V462" s="306">
        <f t="shared" ca="1" si="206"/>
        <v>1.0192719302492919</v>
      </c>
      <c r="W462" s="304">
        <f t="shared" ca="1" si="207"/>
        <v>27.847012468487147</v>
      </c>
      <c r="Y462" s="314" t="str">
        <f t="shared" ca="1" si="225"/>
        <v/>
      </c>
      <c r="Z462" s="315" t="str">
        <f t="shared" ca="1" si="226"/>
        <v/>
      </c>
      <c r="AA462" s="316" t="str">
        <f t="shared" ca="1" si="227"/>
        <v/>
      </c>
      <c r="AC462" s="310" t="e">
        <f t="shared" ca="1" si="228"/>
        <v>#N/A</v>
      </c>
      <c r="AD462" s="323" t="e">
        <f t="shared" ca="1" si="229"/>
        <v>#N/A</v>
      </c>
      <c r="AE462" s="324">
        <f t="shared" ca="1" si="208"/>
        <v>1833.3613407342839</v>
      </c>
      <c r="AG462" s="306">
        <f t="shared" ca="1" si="230"/>
        <v>-15.128061797636954</v>
      </c>
      <c r="AH462" s="304">
        <f t="shared" ca="1" si="231"/>
        <v>-5.7676877758062801</v>
      </c>
    </row>
    <row r="463" spans="1:34" x14ac:dyDescent="0.2">
      <c r="A463" s="347">
        <f t="shared" ca="1" si="209"/>
        <v>0.1</v>
      </c>
      <c r="B463" s="304">
        <f t="shared" ca="1" si="210"/>
        <v>9.8999999999999382</v>
      </c>
      <c r="D463" s="306">
        <f t="shared" ca="1" si="211"/>
        <v>-1.6861429547676245</v>
      </c>
      <c r="E463" s="307">
        <f t="shared" ca="1" si="212"/>
        <v>-15.126220451110203</v>
      </c>
      <c r="F463" s="304">
        <f t="shared" ca="1" si="213"/>
        <v>15.219908777633886</v>
      </c>
      <c r="G463" s="306">
        <f t="shared" ca="1" si="214"/>
        <v>27.574193433939939</v>
      </c>
      <c r="H463" s="307">
        <f t="shared" ca="1" si="215"/>
        <v>85.957352790248763</v>
      </c>
      <c r="I463" s="304">
        <f t="shared" ca="1" si="216"/>
        <v>90.271826403588534</v>
      </c>
      <c r="J463" s="306">
        <f t="shared" ca="1" si="217"/>
        <v>403.35498447368252</v>
      </c>
      <c r="K463" s="307">
        <f t="shared" ca="1" si="218"/>
        <v>1842.0327071155643</v>
      </c>
      <c r="L463" s="304">
        <f t="shared" ca="1" si="203"/>
        <v>1885.6775274641366</v>
      </c>
      <c r="M463" s="306">
        <f t="shared" ca="1" si="219"/>
        <v>1.2603776221138003</v>
      </c>
      <c r="N463" s="304">
        <f t="shared" ca="1" si="220"/>
        <v>72.214318339855296</v>
      </c>
      <c r="P463" s="310">
        <f t="shared" ca="1" si="221"/>
        <v>23</v>
      </c>
      <c r="Q463" s="304">
        <f t="shared" ca="1" si="222"/>
        <v>0</v>
      </c>
      <c r="R463" s="306">
        <f t="shared" ca="1" si="223"/>
        <v>0</v>
      </c>
      <c r="S463" s="307">
        <f t="shared" ca="1" si="224"/>
        <v>4.9929999999999914</v>
      </c>
      <c r="T463" s="304">
        <f t="shared" ca="1" si="204"/>
        <v>48.981329999999922</v>
      </c>
      <c r="U463" s="311">
        <f t="shared" ca="1" si="205"/>
        <v>0</v>
      </c>
      <c r="V463" s="306">
        <f t="shared" ca="1" si="206"/>
        <v>1.018380946134976</v>
      </c>
      <c r="W463" s="304">
        <f t="shared" ca="1" si="207"/>
        <v>26.925088699582417</v>
      </c>
      <c r="Y463" s="314" t="str">
        <f t="shared" ca="1" si="225"/>
        <v/>
      </c>
      <c r="Z463" s="315" t="str">
        <f t="shared" ca="1" si="226"/>
        <v/>
      </c>
      <c r="AA463" s="316" t="str">
        <f t="shared" ca="1" si="227"/>
        <v/>
      </c>
      <c r="AC463" s="310" t="e">
        <f t="shared" ca="1" si="228"/>
        <v>#N/A</v>
      </c>
      <c r="AD463" s="323" t="e">
        <f t="shared" ca="1" si="229"/>
        <v>#N/A</v>
      </c>
      <c r="AE463" s="324">
        <f t="shared" ca="1" si="208"/>
        <v>1842.0327071155643</v>
      </c>
      <c r="AG463" s="306">
        <f t="shared" ca="1" si="230"/>
        <v>-14.928143603804497</v>
      </c>
      <c r="AH463" s="304">
        <f t="shared" ca="1" si="231"/>
        <v>-5.5772105885213685</v>
      </c>
    </row>
    <row r="464" spans="1:34" x14ac:dyDescent="0.2">
      <c r="A464" s="347">
        <f t="shared" ca="1" si="209"/>
        <v>0.1</v>
      </c>
      <c r="B464" s="304">
        <f t="shared" ca="1" si="210"/>
        <v>9.9999999999999378</v>
      </c>
      <c r="D464" s="306">
        <f t="shared" ca="1" si="211"/>
        <v>-1.6471993611113427</v>
      </c>
      <c r="E464" s="307">
        <f t="shared" ca="1" si="212"/>
        <v>-14.944833660252929</v>
      </c>
      <c r="F464" s="304">
        <f t="shared" ca="1" si="213"/>
        <v>15.035335675264273</v>
      </c>
      <c r="G464" s="306">
        <f t="shared" ca="1" si="214"/>
        <v>27.409473497828806</v>
      </c>
      <c r="H464" s="307">
        <f t="shared" ca="1" si="215"/>
        <v>84.46286942422347</v>
      </c>
      <c r="I464" s="304">
        <f t="shared" ca="1" si="216"/>
        <v>88.798961417358953</v>
      </c>
      <c r="J464" s="306">
        <f t="shared" ca="1" si="217"/>
        <v>406.10416782027096</v>
      </c>
      <c r="K464" s="307">
        <f t="shared" ca="1" si="218"/>
        <v>1850.5537182262879</v>
      </c>
      <c r="L464" s="304">
        <f t="shared" ca="1" si="203"/>
        <v>1894.5895753862192</v>
      </c>
      <c r="M464" s="306">
        <f t="shared" ca="1" si="219"/>
        <v>1.257003098016017</v>
      </c>
      <c r="N464" s="304">
        <f t="shared" ca="1" si="220"/>
        <v>72.020972351187112</v>
      </c>
      <c r="P464" s="310">
        <f t="shared" ca="1" si="221"/>
        <v>23</v>
      </c>
      <c r="Q464" s="304">
        <f t="shared" ca="1" si="222"/>
        <v>0</v>
      </c>
      <c r="R464" s="306">
        <f t="shared" ca="1" si="223"/>
        <v>0</v>
      </c>
      <c r="S464" s="307">
        <f t="shared" ca="1" si="224"/>
        <v>4.9929999999999914</v>
      </c>
      <c r="T464" s="304">
        <f t="shared" ca="1" si="204"/>
        <v>48.981329999999922</v>
      </c>
      <c r="U464" s="311">
        <f t="shared" ca="1" si="205"/>
        <v>0</v>
      </c>
      <c r="V464" s="306">
        <f t="shared" ca="1" si="206"/>
        <v>1.0175060999313459</v>
      </c>
      <c r="W464" s="304">
        <f t="shared" ca="1" si="207"/>
        <v>26.031261392456305</v>
      </c>
      <c r="Y464" s="314" t="str">
        <f t="shared" ca="1" si="225"/>
        <v/>
      </c>
      <c r="Z464" s="315" t="str">
        <f t="shared" ca="1" si="226"/>
        <v/>
      </c>
      <c r="AA464" s="316" t="str">
        <f t="shared" ca="1" si="227"/>
        <v/>
      </c>
      <c r="AC464" s="310">
        <f t="shared" ca="1" si="228"/>
        <v>9.9999999999999378</v>
      </c>
      <c r="AD464" s="323">
        <f t="shared" ca="1" si="229"/>
        <v>406.10416782027096</v>
      </c>
      <c r="AE464" s="324">
        <f t="shared" ca="1" si="208"/>
        <v>1850.5537182262879</v>
      </c>
      <c r="AG464" s="306">
        <f t="shared" ca="1" si="230"/>
        <v>-14.733705809685713</v>
      </c>
      <c r="AH464" s="304">
        <f t="shared" ca="1" si="231"/>
        <v>-5.392567334184351</v>
      </c>
    </row>
    <row r="465" spans="1:34" x14ac:dyDescent="0.2">
      <c r="A465" s="347">
        <f t="shared" ca="1" si="209"/>
        <v>0.1</v>
      </c>
      <c r="B465" s="304">
        <f t="shared" ca="1" si="210"/>
        <v>10.099999999999937</v>
      </c>
      <c r="D465" s="306">
        <f t="shared" ca="1" si="211"/>
        <v>-1.6092608803320356</v>
      </c>
      <c r="E465" s="307">
        <f t="shared" ca="1" si="212"/>
        <v>-14.768971270125366</v>
      </c>
      <c r="F465" s="304">
        <f t="shared" ca="1" si="213"/>
        <v>14.856386941607152</v>
      </c>
      <c r="G465" s="306">
        <f t="shared" ca="1" si="214"/>
        <v>27.248547409795602</v>
      </c>
      <c r="H465" s="307">
        <f t="shared" ca="1" si="215"/>
        <v>82.985972297210935</v>
      </c>
      <c r="I465" s="304">
        <f t="shared" ca="1" si="216"/>
        <v>87.345033825955667</v>
      </c>
      <c r="J465" s="306">
        <f t="shared" ca="1" si="217"/>
        <v>408.83706886565216</v>
      </c>
      <c r="K465" s="307">
        <f t="shared" ca="1" si="218"/>
        <v>1858.9261603123596</v>
      </c>
      <c r="L465" s="304">
        <f t="shared" ca="1" si="203"/>
        <v>1903.353413944008</v>
      </c>
      <c r="M465" s="306">
        <f t="shared" ca="1" si="219"/>
        <v>1.2535363325081013</v>
      </c>
      <c r="N465" s="304">
        <f t="shared" ca="1" si="220"/>
        <v>71.822341319022016</v>
      </c>
      <c r="P465" s="310">
        <f t="shared" ca="1" si="221"/>
        <v>23</v>
      </c>
      <c r="Q465" s="304">
        <f t="shared" ca="1" si="222"/>
        <v>0</v>
      </c>
      <c r="R465" s="306">
        <f t="shared" ca="1" si="223"/>
        <v>0</v>
      </c>
      <c r="S465" s="307">
        <f t="shared" ca="1" si="224"/>
        <v>4.9929999999999914</v>
      </c>
      <c r="T465" s="304">
        <f t="shared" ca="1" si="204"/>
        <v>48.981329999999922</v>
      </c>
      <c r="U465" s="311">
        <f t="shared" ca="1" si="205"/>
        <v>0</v>
      </c>
      <c r="V465" s="306">
        <f t="shared" ca="1" si="206"/>
        <v>1.0166471715324099</v>
      </c>
      <c r="W465" s="304">
        <f t="shared" ca="1" si="207"/>
        <v>25.164546625576058</v>
      </c>
      <c r="Y465" s="314" t="str">
        <f t="shared" ca="1" si="225"/>
        <v/>
      </c>
      <c r="Z465" s="315" t="str">
        <f t="shared" ca="1" si="226"/>
        <v/>
      </c>
      <c r="AA465" s="316" t="str">
        <f t="shared" ca="1" si="227"/>
        <v/>
      </c>
      <c r="AC465" s="310" t="e">
        <f t="shared" ca="1" si="228"/>
        <v>#N/A</v>
      </c>
      <c r="AD465" s="323" t="e">
        <f t="shared" ca="1" si="229"/>
        <v>#N/A</v>
      </c>
      <c r="AE465" s="324">
        <f t="shared" ca="1" si="208"/>
        <v>1858.9261603123596</v>
      </c>
      <c r="AG465" s="306">
        <f t="shared" ca="1" si="230"/>
        <v>-14.54452467410033</v>
      </c>
      <c r="AH465" s="304">
        <f t="shared" ca="1" si="231"/>
        <v>-5.2135512502416077</v>
      </c>
    </row>
    <row r="466" spans="1:34" x14ac:dyDescent="0.2">
      <c r="A466" s="347">
        <f t="shared" ca="1" si="209"/>
        <v>0.1</v>
      </c>
      <c r="B466" s="304">
        <f t="shared" ca="1" si="210"/>
        <v>10.199999999999937</v>
      </c>
      <c r="D466" s="306">
        <f t="shared" ca="1" si="211"/>
        <v>-1.5722901092939685</v>
      </c>
      <c r="E466" s="307">
        <f t="shared" ca="1" si="212"/>
        <v>-14.598439599761651</v>
      </c>
      <c r="F466" s="304">
        <f t="shared" ca="1" si="213"/>
        <v>14.682865351683668</v>
      </c>
      <c r="G466" s="306">
        <f t="shared" ca="1" si="214"/>
        <v>27.091318398866207</v>
      </c>
      <c r="H466" s="307">
        <f t="shared" ca="1" si="215"/>
        <v>81.526128337234766</v>
      </c>
      <c r="I466" s="304">
        <f t="shared" ca="1" si="216"/>
        <v>85.909540414601338</v>
      </c>
      <c r="J466" s="306">
        <f t="shared" ca="1" si="217"/>
        <v>411.55406215608525</v>
      </c>
      <c r="K466" s="307">
        <f t="shared" ca="1" si="218"/>
        <v>1867.1517653440819</v>
      </c>
      <c r="L466" s="304">
        <f t="shared" ca="1" si="203"/>
        <v>1911.9708316040537</v>
      </c>
      <c r="M466" s="306">
        <f t="shared" ca="1" si="219"/>
        <v>1.2499740064451308</v>
      </c>
      <c r="N466" s="304">
        <f t="shared" ca="1" si="220"/>
        <v>71.618235070364349</v>
      </c>
      <c r="P466" s="310">
        <f t="shared" ca="1" si="221"/>
        <v>23</v>
      </c>
      <c r="Q466" s="304">
        <f t="shared" ca="1" si="222"/>
        <v>0</v>
      </c>
      <c r="R466" s="306">
        <f t="shared" ca="1" si="223"/>
        <v>0</v>
      </c>
      <c r="S466" s="307">
        <f t="shared" ca="1" si="224"/>
        <v>4.9929999999999914</v>
      </c>
      <c r="T466" s="304">
        <f t="shared" ca="1" si="204"/>
        <v>48.981329999999922</v>
      </c>
      <c r="U466" s="311">
        <f t="shared" ca="1" si="205"/>
        <v>0</v>
      </c>
      <c r="V466" s="306">
        <f t="shared" ca="1" si="206"/>
        <v>1.0158039476662488</v>
      </c>
      <c r="W466" s="304">
        <f t="shared" ca="1" si="207"/>
        <v>24.324006269353742</v>
      </c>
      <c r="Y466" s="314" t="str">
        <f t="shared" ca="1" si="225"/>
        <v/>
      </c>
      <c r="Z466" s="315" t="str">
        <f t="shared" ca="1" si="226"/>
        <v/>
      </c>
      <c r="AA466" s="316" t="str">
        <f t="shared" ca="1" si="227"/>
        <v/>
      </c>
      <c r="AC466" s="310" t="e">
        <f t="shared" ca="1" si="228"/>
        <v>#N/A</v>
      </c>
      <c r="AD466" s="323" t="e">
        <f t="shared" ca="1" si="229"/>
        <v>#N/A</v>
      </c>
      <c r="AE466" s="324">
        <f t="shared" ca="1" si="208"/>
        <v>1867.1517653440819</v>
      </c>
      <c r="AG466" s="306">
        <f t="shared" ca="1" si="230"/>
        <v>-14.360385139843446</v>
      </c>
      <c r="AH466" s="304">
        <f t="shared" ca="1" si="231"/>
        <v>-5.0399652765023237</v>
      </c>
    </row>
    <row r="467" spans="1:34" x14ac:dyDescent="0.2">
      <c r="A467" s="347">
        <f t="shared" ca="1" si="209"/>
        <v>0.1</v>
      </c>
      <c r="B467" s="304">
        <f t="shared" ca="1" si="210"/>
        <v>10.299999999999937</v>
      </c>
      <c r="D467" s="306">
        <f t="shared" ca="1" si="211"/>
        <v>-1.536251377770619</v>
      </c>
      <c r="E467" s="307">
        <f t="shared" ca="1" si="212"/>
        <v>-14.433053966529101</v>
      </c>
      <c r="F467" s="304">
        <f t="shared" ca="1" si="213"/>
        <v>14.51458284266012</v>
      </c>
      <c r="G467" s="306">
        <f t="shared" ca="1" si="214"/>
        <v>26.937693261089144</v>
      </c>
      <c r="H467" s="307">
        <f t="shared" ca="1" si="215"/>
        <v>80.082822940581849</v>
      </c>
      <c r="I467" s="304">
        <f t="shared" ca="1" si="216"/>
        <v>84.491998723909418</v>
      </c>
      <c r="J467" s="306">
        <f t="shared" ca="1" si="217"/>
        <v>414.25551273908303</v>
      </c>
      <c r="K467" s="307">
        <f t="shared" ca="1" si="218"/>
        <v>1875.2322129079728</v>
      </c>
      <c r="L467" s="304">
        <f t="shared" ca="1" si="203"/>
        <v>1920.4435639097685</v>
      </c>
      <c r="M467" s="306">
        <f t="shared" ca="1" si="219"/>
        <v>1.2463126404925822</v>
      </c>
      <c r="N467" s="304">
        <f t="shared" ca="1" si="220"/>
        <v>71.408454254030417</v>
      </c>
      <c r="P467" s="310">
        <f t="shared" ca="1" si="221"/>
        <v>23</v>
      </c>
      <c r="Q467" s="304">
        <f t="shared" ca="1" si="222"/>
        <v>0</v>
      </c>
      <c r="R467" s="306">
        <f t="shared" ca="1" si="223"/>
        <v>0</v>
      </c>
      <c r="S467" s="307">
        <f t="shared" ca="1" si="224"/>
        <v>4.9929999999999914</v>
      </c>
      <c r="T467" s="304">
        <f t="shared" ca="1" si="204"/>
        <v>48.981329999999922</v>
      </c>
      <c r="U467" s="311">
        <f t="shared" ca="1" si="205"/>
        <v>0</v>
      </c>
      <c r="V467" s="306">
        <f t="shared" ca="1" si="206"/>
        <v>1.0149762216506415</v>
      </c>
      <c r="W467" s="304">
        <f t="shared" ca="1" si="207"/>
        <v>23.508745504246146</v>
      </c>
      <c r="Y467" s="314" t="str">
        <f t="shared" ca="1" si="225"/>
        <v/>
      </c>
      <c r="Z467" s="315" t="str">
        <f t="shared" ca="1" si="226"/>
        <v/>
      </c>
      <c r="AA467" s="316" t="str">
        <f t="shared" ca="1" si="227"/>
        <v/>
      </c>
      <c r="AC467" s="310" t="e">
        <f t="shared" ca="1" si="228"/>
        <v>#N/A</v>
      </c>
      <c r="AD467" s="323" t="e">
        <f t="shared" ca="1" si="229"/>
        <v>#N/A</v>
      </c>
      <c r="AE467" s="324">
        <f t="shared" ca="1" si="208"/>
        <v>1875.2322129079728</v>
      </c>
      <c r="AG467" s="306">
        <f t="shared" ca="1" si="230"/>
        <v>-14.181080230552659</v>
      </c>
      <c r="AH467" s="304">
        <f t="shared" ca="1" si="231"/>
        <v>-4.8716215240043628</v>
      </c>
    </row>
    <row r="468" spans="1:34" x14ac:dyDescent="0.2">
      <c r="A468" s="347">
        <f t="shared" ca="1" si="209"/>
        <v>0.1</v>
      </c>
      <c r="B468" s="304">
        <f t="shared" ca="1" si="210"/>
        <v>10.399999999999936</v>
      </c>
      <c r="D468" s="306">
        <f t="shared" ca="1" si="211"/>
        <v>-1.5011106561607528</v>
      </c>
      <c r="E468" s="307">
        <f t="shared" ca="1" si="212"/>
        <v>-14.272638197205524</v>
      </c>
      <c r="F468" s="304">
        <f t="shared" ca="1" si="213"/>
        <v>14.351360016053166</v>
      </c>
      <c r="G468" s="306">
        <f t="shared" ca="1" si="214"/>
        <v>26.787582195473068</v>
      </c>
      <c r="H468" s="307">
        <f t="shared" ca="1" si="215"/>
        <v>78.655559120861298</v>
      </c>
      <c r="I468" s="304">
        <f t="shared" ca="1" si="216"/>
        <v>83.091946303444672</v>
      </c>
      <c r="J468" s="306">
        <f t="shared" ca="1" si="217"/>
        <v>416.94177651191114</v>
      </c>
      <c r="K468" s="307">
        <f t="shared" ca="1" si="218"/>
        <v>1883.1691320110449</v>
      </c>
      <c r="L468" s="304">
        <f t="shared" ca="1" si="203"/>
        <v>1928.7732953253321</v>
      </c>
      <c r="M468" s="306">
        <f t="shared" ca="1" si="219"/>
        <v>1.2425485858396792</v>
      </c>
      <c r="N468" s="304">
        <f t="shared" ca="1" si="220"/>
        <v>71.192789808562509</v>
      </c>
      <c r="P468" s="310">
        <f t="shared" ca="1" si="221"/>
        <v>23</v>
      </c>
      <c r="Q468" s="304">
        <f t="shared" ca="1" si="222"/>
        <v>0</v>
      </c>
      <c r="R468" s="306">
        <f t="shared" ca="1" si="223"/>
        <v>0</v>
      </c>
      <c r="S468" s="307">
        <f t="shared" ca="1" si="224"/>
        <v>4.9929999999999914</v>
      </c>
      <c r="T468" s="304">
        <f t="shared" ca="1" si="204"/>
        <v>48.981329999999922</v>
      </c>
      <c r="U468" s="311">
        <f t="shared" ca="1" si="205"/>
        <v>0</v>
      </c>
      <c r="V468" s="306">
        <f t="shared" ca="1" si="206"/>
        <v>1.0141637931601979</v>
      </c>
      <c r="W468" s="304">
        <f t="shared" ca="1" si="207"/>
        <v>22.717910496571395</v>
      </c>
      <c r="Y468" s="314" t="str">
        <f t="shared" ca="1" si="225"/>
        <v/>
      </c>
      <c r="Z468" s="315" t="str">
        <f t="shared" ca="1" si="226"/>
        <v/>
      </c>
      <c r="AA468" s="316" t="str">
        <f t="shared" ca="1" si="227"/>
        <v/>
      </c>
      <c r="AC468" s="310" t="e">
        <f t="shared" ca="1" si="228"/>
        <v>#N/A</v>
      </c>
      <c r="AD468" s="323" t="e">
        <f t="shared" ca="1" si="229"/>
        <v>#N/A</v>
      </c>
      <c r="AE468" s="324">
        <f t="shared" ca="1" si="208"/>
        <v>1883.1691320110449</v>
      </c>
      <c r="AG468" s="306">
        <f t="shared" ca="1" si="230"/>
        <v>-14.006410475806636</v>
      </c>
      <c r="AH468" s="304">
        <f t="shared" ca="1" si="231"/>
        <v>-4.7083407779383508</v>
      </c>
    </row>
    <row r="469" spans="1:34" x14ac:dyDescent="0.2">
      <c r="A469" s="347">
        <f t="shared" ca="1" si="209"/>
        <v>0.1</v>
      </c>
      <c r="B469" s="304">
        <f t="shared" ca="1" si="210"/>
        <v>10.499999999999936</v>
      </c>
      <c r="D469" s="306">
        <f t="shared" ca="1" si="211"/>
        <v>-1.466835469250219</v>
      </c>
      <c r="E469" s="307">
        <f t="shared" ca="1" si="212"/>
        <v>-14.117024170015782</v>
      </c>
      <c r="F469" s="304">
        <f t="shared" ca="1" si="213"/>
        <v>14.193025671457805</v>
      </c>
      <c r="G469" s="306">
        <f t="shared" ca="1" si="214"/>
        <v>26.640898648548045</v>
      </c>
      <c r="H469" s="307">
        <f t="shared" ca="1" si="215"/>
        <v>77.24385670385972</v>
      </c>
      <c r="I469" s="304">
        <f t="shared" ca="1" si="216"/>
        <v>81.708940020591527</v>
      </c>
      <c r="J469" s="306">
        <f t="shared" ca="1" si="217"/>
        <v>419.61320055411221</v>
      </c>
      <c r="K469" s="307">
        <f t="shared" ca="1" si="218"/>
        <v>1890.9641028022809</v>
      </c>
      <c r="L469" s="304">
        <f t="shared" ca="1" si="203"/>
        <v>1936.9616609954107</v>
      </c>
      <c r="M469" s="306">
        <f t="shared" ca="1" si="219"/>
        <v>1.2386780142900597</v>
      </c>
      <c r="N469" s="304">
        <f t="shared" ca="1" si="220"/>
        <v>70.971022394465905</v>
      </c>
      <c r="P469" s="310">
        <f t="shared" ca="1" si="221"/>
        <v>23</v>
      </c>
      <c r="Q469" s="304">
        <f t="shared" ca="1" si="222"/>
        <v>0</v>
      </c>
      <c r="R469" s="306">
        <f t="shared" ca="1" si="223"/>
        <v>0</v>
      </c>
      <c r="S469" s="307">
        <f t="shared" ca="1" si="224"/>
        <v>4.9929999999999914</v>
      </c>
      <c r="T469" s="304">
        <f t="shared" ca="1" si="204"/>
        <v>48.981329999999922</v>
      </c>
      <c r="U469" s="311">
        <f t="shared" ca="1" si="205"/>
        <v>0</v>
      </c>
      <c r="V469" s="306">
        <f t="shared" ca="1" si="206"/>
        <v>1.0133664680043704</v>
      </c>
      <c r="W469" s="304">
        <f t="shared" ca="1" si="207"/>
        <v>21.950686220707546</v>
      </c>
      <c r="Y469" s="314" t="str">
        <f t="shared" ca="1" si="225"/>
        <v/>
      </c>
      <c r="Z469" s="315" t="str">
        <f t="shared" ca="1" si="226"/>
        <v/>
      </c>
      <c r="AA469" s="316" t="str">
        <f t="shared" ca="1" si="227"/>
        <v/>
      </c>
      <c r="AC469" s="310" t="e">
        <f t="shared" ca="1" si="228"/>
        <v>#N/A</v>
      </c>
      <c r="AD469" s="323" t="e">
        <f t="shared" ca="1" si="229"/>
        <v>#N/A</v>
      </c>
      <c r="AE469" s="324">
        <f t="shared" ca="1" si="208"/>
        <v>1890.9641028022809</v>
      </c>
      <c r="AG469" s="306">
        <f t="shared" ca="1" si="230"/>
        <v>-13.836183361460371</v>
      </c>
      <c r="AH469" s="304">
        <f t="shared" ca="1" si="231"/>
        <v>-4.5499520321593101</v>
      </c>
    </row>
    <row r="470" spans="1:34" x14ac:dyDescent="0.2">
      <c r="A470" s="347">
        <f t="shared" ca="1" si="209"/>
        <v>0.1</v>
      </c>
      <c r="B470" s="304">
        <f t="shared" ca="1" si="210"/>
        <v>10.599999999999936</v>
      </c>
      <c r="D470" s="306">
        <f t="shared" ca="1" si="211"/>
        <v>-1.4333948156014964</v>
      </c>
      <c r="E470" s="307">
        <f t="shared" ca="1" si="212"/>
        <v>-13.96605138539168</v>
      </c>
      <c r="F470" s="304">
        <f t="shared" ca="1" si="213"/>
        <v>14.039416369521708</v>
      </c>
      <c r="G470" s="306">
        <f t="shared" ca="1" si="214"/>
        <v>26.497559166987894</v>
      </c>
      <c r="H470" s="307">
        <f t="shared" ca="1" si="215"/>
        <v>75.847251565320548</v>
      </c>
      <c r="I470" s="304">
        <f t="shared" ca="1" si="216"/>
        <v>80.342555422522153</v>
      </c>
      <c r="J470" s="306">
        <f t="shared" ca="1" si="217"/>
        <v>422.27012344488901</v>
      </c>
      <c r="K470" s="307">
        <f t="shared" ca="1" si="218"/>
        <v>1898.61865821574</v>
      </c>
      <c r="L470" s="304">
        <f t="shared" ca="1" si="203"/>
        <v>1945.0102484252104</v>
      </c>
      <c r="M470" s="306">
        <f t="shared" ca="1" si="219"/>
        <v>1.2346969076839822</v>
      </c>
      <c r="N470" s="304">
        <f t="shared" ca="1" si="220"/>
        <v>70.742921788146006</v>
      </c>
      <c r="P470" s="310">
        <f t="shared" ca="1" si="221"/>
        <v>23</v>
      </c>
      <c r="Q470" s="304">
        <f t="shared" ca="1" si="222"/>
        <v>0</v>
      </c>
      <c r="R470" s="306">
        <f t="shared" ca="1" si="223"/>
        <v>0</v>
      </c>
      <c r="S470" s="307">
        <f t="shared" ca="1" si="224"/>
        <v>4.9929999999999914</v>
      </c>
      <c r="T470" s="304">
        <f t="shared" ca="1" si="204"/>
        <v>48.981329999999922</v>
      </c>
      <c r="U470" s="311">
        <f t="shared" ca="1" si="205"/>
        <v>0</v>
      </c>
      <c r="V470" s="306">
        <f t="shared" ca="1" si="206"/>
        <v>1.0125840579157535</v>
      </c>
      <c r="W470" s="304">
        <f t="shared" ca="1" si="207"/>
        <v>21.206294417249921</v>
      </c>
      <c r="Y470" s="314" t="str">
        <f t="shared" ca="1" si="225"/>
        <v/>
      </c>
      <c r="Z470" s="315" t="str">
        <f t="shared" ca="1" si="226"/>
        <v/>
      </c>
      <c r="AA470" s="316" t="str">
        <f t="shared" ca="1" si="227"/>
        <v/>
      </c>
      <c r="AC470" s="310" t="e">
        <f t="shared" ca="1" si="228"/>
        <v>#N/A</v>
      </c>
      <c r="AD470" s="323" t="e">
        <f t="shared" ca="1" si="229"/>
        <v>#N/A</v>
      </c>
      <c r="AE470" s="324">
        <f t="shared" ca="1" si="208"/>
        <v>1898.61865821574</v>
      </c>
      <c r="AG470" s="306">
        <f t="shared" ca="1" si="230"/>
        <v>-13.670212802371925</v>
      </c>
      <c r="AH470" s="304">
        <f t="shared" ca="1" si="231"/>
        <v>-4.3962920530157383</v>
      </c>
    </row>
    <row r="471" spans="1:34" x14ac:dyDescent="0.2">
      <c r="A471" s="347">
        <f t="shared" ca="1" si="209"/>
        <v>0.1</v>
      </c>
      <c r="B471" s="304">
        <f t="shared" ca="1" si="210"/>
        <v>10.699999999999935</v>
      </c>
      <c r="D471" s="306">
        <f t="shared" ca="1" si="211"/>
        <v>-1.4007590921881217</v>
      </c>
      <c r="E471" s="307">
        <f t="shared" ca="1" si="212"/>
        <v>-13.819566563397535</v>
      </c>
      <c r="F471" s="304">
        <f t="shared" ca="1" si="213"/>
        <v>13.890376022070923</v>
      </c>
      <c r="G471" s="306">
        <f t="shared" ca="1" si="214"/>
        <v>26.357483257769083</v>
      </c>
      <c r="H471" s="307">
        <f t="shared" ca="1" si="215"/>
        <v>74.465294908980795</v>
      </c>
      <c r="I471" s="304">
        <f t="shared" ca="1" si="216"/>
        <v>78.992386149331239</v>
      </c>
      <c r="J471" s="306">
        <f t="shared" ca="1" si="217"/>
        <v>424.91287556612684</v>
      </c>
      <c r="K471" s="307">
        <f t="shared" ca="1" si="218"/>
        <v>1906.134285539455</v>
      </c>
      <c r="L471" s="304">
        <f t="shared" ca="1" si="203"/>
        <v>1952.9205990850942</v>
      </c>
      <c r="M471" s="306">
        <f t="shared" ca="1" si="219"/>
        <v>1.2306010466028061</v>
      </c>
      <c r="N471" s="304">
        <f t="shared" ca="1" si="220"/>
        <v>70.508246234722719</v>
      </c>
      <c r="P471" s="310">
        <f t="shared" ca="1" si="221"/>
        <v>23</v>
      </c>
      <c r="Q471" s="304">
        <f t="shared" ca="1" si="222"/>
        <v>0</v>
      </c>
      <c r="R471" s="306">
        <f t="shared" ca="1" si="223"/>
        <v>0</v>
      </c>
      <c r="S471" s="307">
        <f t="shared" ca="1" si="224"/>
        <v>4.9929999999999914</v>
      </c>
      <c r="T471" s="304">
        <f t="shared" ca="1" si="204"/>
        <v>48.981329999999922</v>
      </c>
      <c r="U471" s="311">
        <f t="shared" ca="1" si="205"/>
        <v>0</v>
      </c>
      <c r="V471" s="306">
        <f t="shared" ca="1" si="206"/>
        <v>1.0118163803481104</v>
      </c>
      <c r="W471" s="304">
        <f t="shared" ca="1" si="207"/>
        <v>20.483991677534323</v>
      </c>
      <c r="Y471" s="314" t="str">
        <f t="shared" ca="1" si="225"/>
        <v/>
      </c>
      <c r="Z471" s="315" t="str">
        <f t="shared" ca="1" si="226"/>
        <v/>
      </c>
      <c r="AA471" s="316" t="str">
        <f t="shared" ca="1" si="227"/>
        <v/>
      </c>
      <c r="AC471" s="310" t="e">
        <f t="shared" ca="1" si="228"/>
        <v>#N/A</v>
      </c>
      <c r="AD471" s="323" t="e">
        <f t="shared" ca="1" si="229"/>
        <v>#N/A</v>
      </c>
      <c r="AE471" s="324">
        <f t="shared" ca="1" si="208"/>
        <v>1906.134285539455</v>
      </c>
      <c r="AG471" s="306">
        <f t="shared" ca="1" si="230"/>
        <v>-13.508318634801846</v>
      </c>
      <c r="AH471" s="304">
        <f t="shared" ca="1" si="231"/>
        <v>-4.2472049704085633</v>
      </c>
    </row>
    <row r="472" spans="1:34" x14ac:dyDescent="0.2">
      <c r="A472" s="347">
        <f t="shared" ca="1" si="209"/>
        <v>0.1</v>
      </c>
      <c r="B472" s="304">
        <f t="shared" ca="1" si="210"/>
        <v>10.799999999999935</v>
      </c>
      <c r="D472" s="306">
        <f t="shared" ca="1" si="211"/>
        <v>-1.3689000239233757</v>
      </c>
      <c r="E472" s="307">
        <f t="shared" ca="1" si="212"/>
        <v>-13.677423265926524</v>
      </c>
      <c r="F472" s="304">
        <f t="shared" ca="1" si="213"/>
        <v>13.745755507457771</v>
      </c>
      <c r="G472" s="306">
        <f t="shared" ca="1" si="214"/>
        <v>26.220593255376745</v>
      </c>
      <c r="H472" s="307">
        <f t="shared" ca="1" si="215"/>
        <v>73.097552582388147</v>
      </c>
      <c r="I472" s="304">
        <f t="shared" ca="1" si="216"/>
        <v>77.658043396668887</v>
      </c>
      <c r="J472" s="306">
        <f t="shared" ca="1" si="217"/>
        <v>427.54177939178413</v>
      </c>
      <c r="K472" s="307">
        <f t="shared" ca="1" si="218"/>
        <v>1913.5124279140234</v>
      </c>
      <c r="L472" s="304">
        <f t="shared" ca="1" si="203"/>
        <v>1960.6942099437417</v>
      </c>
      <c r="M472" s="306">
        <f t="shared" ca="1" si="219"/>
        <v>1.2263859983027701</v>
      </c>
      <c r="N472" s="304">
        <f t="shared" ca="1" si="220"/>
        <v>70.266741756686869</v>
      </c>
      <c r="P472" s="310">
        <f t="shared" ca="1" si="221"/>
        <v>23</v>
      </c>
      <c r="Q472" s="304">
        <f t="shared" ca="1" si="222"/>
        <v>0</v>
      </c>
      <c r="R472" s="306">
        <f t="shared" ca="1" si="223"/>
        <v>0</v>
      </c>
      <c r="S472" s="307">
        <f t="shared" ca="1" si="224"/>
        <v>4.9929999999999914</v>
      </c>
      <c r="T472" s="304">
        <f t="shared" ca="1" si="204"/>
        <v>48.981329999999922</v>
      </c>
      <c r="U472" s="311">
        <f t="shared" ca="1" si="205"/>
        <v>0</v>
      </c>
      <c r="V472" s="306">
        <f t="shared" ca="1" si="206"/>
        <v>1.0110632582836188</v>
      </c>
      <c r="W472" s="304">
        <f t="shared" ca="1" si="207"/>
        <v>19.783067645691059</v>
      </c>
      <c r="Y472" s="314" t="str">
        <f t="shared" ca="1" si="225"/>
        <v/>
      </c>
      <c r="Z472" s="315" t="str">
        <f t="shared" ca="1" si="226"/>
        <v/>
      </c>
      <c r="AA472" s="316" t="str">
        <f t="shared" ca="1" si="227"/>
        <v/>
      </c>
      <c r="AC472" s="310" t="e">
        <f t="shared" ca="1" si="228"/>
        <v>#N/A</v>
      </c>
      <c r="AD472" s="323" t="e">
        <f t="shared" ca="1" si="229"/>
        <v>#N/A</v>
      </c>
      <c r="AE472" s="324">
        <f t="shared" ca="1" si="208"/>
        <v>1913.5124279140234</v>
      </c>
      <c r="AG472" s="306">
        <f t="shared" ca="1" si="230"/>
        <v>-13.350326125870831</v>
      </c>
      <c r="AH472" s="304">
        <f t="shared" ca="1" si="231"/>
        <v>-4.1025418941586942</v>
      </c>
    </row>
    <row r="473" spans="1:34" x14ac:dyDescent="0.2">
      <c r="A473" s="347">
        <f t="shared" ca="1" si="209"/>
        <v>0.1</v>
      </c>
      <c r="B473" s="304">
        <f t="shared" ca="1" si="210"/>
        <v>10.899999999999935</v>
      </c>
      <c r="D473" s="306">
        <f t="shared" ca="1" si="211"/>
        <v>-1.3377905977621578</v>
      </c>
      <c r="E473" s="307">
        <f t="shared" ca="1" si="212"/>
        <v>-13.539481541920924</v>
      </c>
      <c r="F473" s="304">
        <f t="shared" ca="1" si="213"/>
        <v>13.605412309352415</v>
      </c>
      <c r="G473" s="306">
        <f t="shared" ca="1" si="214"/>
        <v>26.086814195600528</v>
      </c>
      <c r="H473" s="307">
        <f t="shared" ca="1" si="215"/>
        <v>71.743604428196051</v>
      </c>
      <c r="I473" s="304">
        <f t="shared" ca="1" si="216"/>
        <v>76.339155426460266</v>
      </c>
      <c r="J473" s="306">
        <f t="shared" ca="1" si="217"/>
        <v>430.15714976433298</v>
      </c>
      <c r="K473" s="307">
        <f t="shared" ca="1" si="218"/>
        <v>1920.7544857645526</v>
      </c>
      <c r="L473" s="304">
        <f t="shared" ca="1" si="203"/>
        <v>1968.332534933573</v>
      </c>
      <c r="M473" s="306">
        <f t="shared" ca="1" si="219"/>
        <v>1.2220471038211265</v>
      </c>
      <c r="N473" s="304">
        <f t="shared" ca="1" si="220"/>
        <v>70.018141415136085</v>
      </c>
      <c r="P473" s="310">
        <f t="shared" ca="1" si="221"/>
        <v>23</v>
      </c>
      <c r="Q473" s="304">
        <f t="shared" ca="1" si="222"/>
        <v>0</v>
      </c>
      <c r="R473" s="306">
        <f t="shared" ca="1" si="223"/>
        <v>0</v>
      </c>
      <c r="S473" s="307">
        <f t="shared" ca="1" si="224"/>
        <v>4.9929999999999914</v>
      </c>
      <c r="T473" s="304">
        <f t="shared" ca="1" si="204"/>
        <v>48.981329999999922</v>
      </c>
      <c r="U473" s="311">
        <f t="shared" ca="1" si="205"/>
        <v>0</v>
      </c>
      <c r="V473" s="306">
        <f t="shared" ca="1" si="206"/>
        <v>1.0103245200488353</v>
      </c>
      <c r="W473" s="304">
        <f t="shared" ca="1" si="207"/>
        <v>19.102843330085967</v>
      </c>
      <c r="Y473" s="314" t="str">
        <f t="shared" ca="1" si="225"/>
        <v/>
      </c>
      <c r="Z473" s="315" t="str">
        <f t="shared" ca="1" si="226"/>
        <v/>
      </c>
      <c r="AA473" s="316" t="str">
        <f t="shared" ca="1" si="227"/>
        <v/>
      </c>
      <c r="AC473" s="310" t="e">
        <f t="shared" ca="1" si="228"/>
        <v>#N/A</v>
      </c>
      <c r="AD473" s="323" t="e">
        <f t="shared" ca="1" si="229"/>
        <v>#N/A</v>
      </c>
      <c r="AE473" s="324">
        <f t="shared" ca="1" si="208"/>
        <v>1920.7544857645526</v>
      </c>
      <c r="AG473" s="306">
        <f t="shared" ca="1" si="230"/>
        <v>-13.196065497544907</v>
      </c>
      <c r="AH473" s="304">
        <f t="shared" ca="1" si="231"/>
        <v>-3.9621605539136979</v>
      </c>
    </row>
    <row r="474" spans="1:34" x14ac:dyDescent="0.2">
      <c r="A474" s="347">
        <f t="shared" ca="1" si="209"/>
        <v>0.1</v>
      </c>
      <c r="B474" s="304">
        <f t="shared" ca="1" si="210"/>
        <v>10.999999999999934</v>
      </c>
      <c r="D474" s="306">
        <f t="shared" ca="1" si="211"/>
        <v>-1.3074050010821301</v>
      </c>
      <c r="E474" s="307">
        <f t="shared" ca="1" si="212"/>
        <v>-13.405607594004344</v>
      </c>
      <c r="F474" s="304">
        <f t="shared" ca="1" si="213"/>
        <v>13.469210177337107</v>
      </c>
      <c r="G474" s="306">
        <f t="shared" ca="1" si="214"/>
        <v>25.956073695492314</v>
      </c>
      <c r="H474" s="307">
        <f t="shared" ca="1" si="215"/>
        <v>70.403043668795618</v>
      </c>
      <c r="I474" s="304">
        <f t="shared" ca="1" si="216"/>
        <v>75.035367124551144</v>
      </c>
      <c r="J474" s="306">
        <f t="shared" ca="1" si="217"/>
        <v>432.75929415888766</v>
      </c>
      <c r="K474" s="307">
        <f t="shared" ca="1" si="218"/>
        <v>1927.8618181694021</v>
      </c>
      <c r="L474" s="304">
        <f t="shared" ca="1" si="203"/>
        <v>1975.8369863519438</v>
      </c>
      <c r="M474" s="306">
        <f t="shared" ca="1" si="219"/>
        <v>1.2175794641934854</v>
      </c>
      <c r="N474" s="304">
        <f t="shared" ca="1" si="220"/>
        <v>69.762164520086856</v>
      </c>
      <c r="P474" s="310">
        <f t="shared" ca="1" si="221"/>
        <v>23</v>
      </c>
      <c r="Q474" s="304">
        <f t="shared" ca="1" si="222"/>
        <v>0</v>
      </c>
      <c r="R474" s="306">
        <f t="shared" ca="1" si="223"/>
        <v>0</v>
      </c>
      <c r="S474" s="307">
        <f t="shared" ca="1" si="224"/>
        <v>4.9929999999999914</v>
      </c>
      <c r="T474" s="304">
        <f t="shared" ca="1" si="204"/>
        <v>48.981329999999922</v>
      </c>
      <c r="U474" s="311">
        <f t="shared" ca="1" si="205"/>
        <v>0</v>
      </c>
      <c r="V474" s="306">
        <f t="shared" ca="1" si="206"/>
        <v>1.0095999991389335</v>
      </c>
      <c r="W474" s="304">
        <f t="shared" ca="1" si="207"/>
        <v>18.442669516636759</v>
      </c>
      <c r="Y474" s="314" t="str">
        <f t="shared" ca="1" si="225"/>
        <v/>
      </c>
      <c r="Z474" s="315" t="str">
        <f t="shared" ca="1" si="226"/>
        <v/>
      </c>
      <c r="AA474" s="316" t="str">
        <f t="shared" ca="1" si="227"/>
        <v/>
      </c>
      <c r="AC474" s="310">
        <f t="shared" ca="1" si="228"/>
        <v>10.999999999999934</v>
      </c>
      <c r="AD474" s="323">
        <f t="shared" ca="1" si="229"/>
        <v>432.75929415888766</v>
      </c>
      <c r="AE474" s="324">
        <f t="shared" ca="1" si="208"/>
        <v>1927.8618181694021</v>
      </c>
      <c r="AG474" s="306">
        <f t="shared" ca="1" si="230"/>
        <v>-13.045371462680778</v>
      </c>
      <c r="AH474" s="304">
        <f t="shared" ca="1" si="231"/>
        <v>-3.8259249609625474</v>
      </c>
    </row>
    <row r="475" spans="1:34" x14ac:dyDescent="0.2">
      <c r="A475" s="347">
        <f t="shared" ca="1" si="209"/>
        <v>0.1</v>
      </c>
      <c r="B475" s="304">
        <f t="shared" ca="1" si="210"/>
        <v>11.099999999999934</v>
      </c>
      <c r="D475" s="306">
        <f t="shared" ca="1" si="211"/>
        <v>-1.2777185640752271</v>
      </c>
      <c r="E475" s="307">
        <f t="shared" ca="1" si="212"/>
        <v>-13.275673465037249</v>
      </c>
      <c r="F475" s="304">
        <f t="shared" ca="1" si="213"/>
        <v>13.337018807787466</v>
      </c>
      <c r="G475" s="306">
        <f t="shared" ca="1" si="214"/>
        <v>25.828301839084791</v>
      </c>
      <c r="H475" s="307">
        <f t="shared" ca="1" si="215"/>
        <v>69.075476322291891</v>
      </c>
      <c r="I475" s="304">
        <f t="shared" ca="1" si="216"/>
        <v>73.746339604365303</v>
      </c>
      <c r="J475" s="306">
        <f t="shared" ca="1" si="217"/>
        <v>435.3485129356165</v>
      </c>
      <c r="K475" s="307">
        <f t="shared" ca="1" si="218"/>
        <v>1934.8357441689566</v>
      </c>
      <c r="L475" s="304">
        <f t="shared" ca="1" si="203"/>
        <v>1983.208936201401</v>
      </c>
      <c r="M475" s="306">
        <f t="shared" ca="1" si="219"/>
        <v>1.212977925716745</v>
      </c>
      <c r="N475" s="304">
        <f t="shared" ca="1" si="220"/>
        <v>69.498515786102573</v>
      </c>
      <c r="P475" s="310">
        <f t="shared" ca="1" si="221"/>
        <v>23</v>
      </c>
      <c r="Q475" s="304">
        <f t="shared" ca="1" si="222"/>
        <v>0</v>
      </c>
      <c r="R475" s="306">
        <f t="shared" ca="1" si="223"/>
        <v>0</v>
      </c>
      <c r="S475" s="307">
        <f t="shared" ca="1" si="224"/>
        <v>4.9929999999999914</v>
      </c>
      <c r="T475" s="304">
        <f t="shared" ca="1" si="204"/>
        <v>48.981329999999922</v>
      </c>
      <c r="U475" s="311">
        <f t="shared" ca="1" si="205"/>
        <v>0</v>
      </c>
      <c r="V475" s="306">
        <f t="shared" ca="1" si="206"/>
        <v>1.0088895340497781</v>
      </c>
      <c r="W475" s="304">
        <f t="shared" ca="1" si="207"/>
        <v>17.801925277070435</v>
      </c>
      <c r="Y475" s="314" t="str">
        <f t="shared" ca="1" si="225"/>
        <v/>
      </c>
      <c r="Z475" s="315" t="str">
        <f t="shared" ca="1" si="226"/>
        <v/>
      </c>
      <c r="AA475" s="316" t="str">
        <f t="shared" ca="1" si="227"/>
        <v/>
      </c>
      <c r="AC475" s="310" t="e">
        <f t="shared" ca="1" si="228"/>
        <v>#N/A</v>
      </c>
      <c r="AD475" s="323" t="e">
        <f t="shared" ca="1" si="229"/>
        <v>#N/A</v>
      </c>
      <c r="AE475" s="324">
        <f t="shared" ca="1" si="208"/>
        <v>1934.8357441689566</v>
      </c>
      <c r="AG475" s="306">
        <f t="shared" ca="1" si="230"/>
        <v>-12.898082770708017</v>
      </c>
      <c r="AH475" s="304">
        <f t="shared" ca="1" si="231"/>
        <v>-3.6937050904539936</v>
      </c>
    </row>
    <row r="476" spans="1:34" x14ac:dyDescent="0.2">
      <c r="A476" s="347">
        <f t="shared" ca="1" si="209"/>
        <v>0.1</v>
      </c>
      <c r="B476" s="304">
        <f t="shared" ca="1" si="210"/>
        <v>11.199999999999934</v>
      </c>
      <c r="D476" s="306">
        <f t="shared" ca="1" si="211"/>
        <v>-1.2487077059037581</v>
      </c>
      <c r="E476" s="307">
        <f t="shared" ca="1" si="212"/>
        <v>-13.149556743219277</v>
      </c>
      <c r="F476" s="304">
        <f t="shared" ca="1" si="213"/>
        <v>13.208713543639554</v>
      </c>
      <c r="G476" s="306">
        <f t="shared" ca="1" si="214"/>
        <v>25.703431068494414</v>
      </c>
      <c r="H476" s="307">
        <f t="shared" ca="1" si="215"/>
        <v>67.760520647969969</v>
      </c>
      <c r="I476" s="304">
        <f t="shared" ca="1" si="216"/>
        <v>72.471749855904605</v>
      </c>
      <c r="J476" s="306">
        <f t="shared" ca="1" si="217"/>
        <v>437.92509958099544</v>
      </c>
      <c r="K476" s="307">
        <f t="shared" ca="1" si="218"/>
        <v>1941.6775440174697</v>
      </c>
      <c r="L476" s="304">
        <f t="shared" ca="1" si="203"/>
        <v>1990.4497174720937</v>
      </c>
      <c r="M476" s="306">
        <f t="shared" ca="1" si="219"/>
        <v>1.2082370641872806</v>
      </c>
      <c r="N476" s="304">
        <f t="shared" ca="1" si="220"/>
        <v>69.226884429208326</v>
      </c>
      <c r="P476" s="310">
        <f t="shared" ca="1" si="221"/>
        <v>23</v>
      </c>
      <c r="Q476" s="304">
        <f t="shared" ca="1" si="222"/>
        <v>0</v>
      </c>
      <c r="R476" s="306">
        <f t="shared" ca="1" si="223"/>
        <v>0</v>
      </c>
      <c r="S476" s="307">
        <f t="shared" ca="1" si="224"/>
        <v>4.9929999999999914</v>
      </c>
      <c r="T476" s="304">
        <f t="shared" ca="1" si="204"/>
        <v>48.981329999999922</v>
      </c>
      <c r="U476" s="311">
        <f t="shared" ca="1" si="205"/>
        <v>0</v>
      </c>
      <c r="V476" s="306">
        <f t="shared" ca="1" si="206"/>
        <v>1.0081929681174333</v>
      </c>
      <c r="W476" s="304">
        <f t="shared" ca="1" si="207"/>
        <v>17.180016565716226</v>
      </c>
      <c r="Y476" s="314" t="str">
        <f t="shared" ca="1" si="225"/>
        <v/>
      </c>
      <c r="Z476" s="315" t="str">
        <f t="shared" ca="1" si="226"/>
        <v/>
      </c>
      <c r="AA476" s="316" t="str">
        <f t="shared" ca="1" si="227"/>
        <v/>
      </c>
      <c r="AC476" s="310" t="e">
        <f t="shared" ca="1" si="228"/>
        <v>#N/A</v>
      </c>
      <c r="AD476" s="323" t="e">
        <f t="shared" ca="1" si="229"/>
        <v>#N/A</v>
      </c>
      <c r="AE476" s="324">
        <f t="shared" ca="1" si="208"/>
        <v>1941.6775440174697</v>
      </c>
      <c r="AG476" s="306">
        <f t="shared" ca="1" si="230"/>
        <v>-12.754041760549631</v>
      </c>
      <c r="AH476" s="304">
        <f t="shared" ca="1" si="231"/>
        <v>-3.5653765826297747</v>
      </c>
    </row>
    <row r="477" spans="1:34" x14ac:dyDescent="0.2">
      <c r="A477" s="347">
        <f t="shared" ca="1" si="209"/>
        <v>0.1</v>
      </c>
      <c r="B477" s="304">
        <f t="shared" ca="1" si="210"/>
        <v>11.299999999999933</v>
      </c>
      <c r="D477" s="306">
        <f t="shared" ca="1" si="211"/>
        <v>-1.2203498843966778</v>
      </c>
      <c r="E477" s="307">
        <f t="shared" ca="1" si="212"/>
        <v>-13.027140284464464</v>
      </c>
      <c r="F477" s="304">
        <f t="shared" ca="1" si="213"/>
        <v>13.0841750917459</v>
      </c>
      <c r="G477" s="306">
        <f t="shared" ca="1" si="214"/>
        <v>25.581396080054745</v>
      </c>
      <c r="H477" s="307">
        <f t="shared" ca="1" si="215"/>
        <v>66.457806619523524</v>
      </c>
      <c r="I477" s="304">
        <f t="shared" ca="1" si="216"/>
        <v>71.21129043966711</v>
      </c>
      <c r="J477" s="306">
        <f t="shared" ca="1" si="217"/>
        <v>440.48934093842291</v>
      </c>
      <c r="K477" s="307">
        <f t="shared" ca="1" si="218"/>
        <v>1948.3884603808444</v>
      </c>
      <c r="L477" s="304">
        <f t="shared" ca="1" si="203"/>
        <v>1997.5606253692536</v>
      </c>
      <c r="M477" s="306">
        <f t="shared" ca="1" si="219"/>
        <v>1.203351168039106</v>
      </c>
      <c r="N477" s="304">
        <f t="shared" ca="1" si="220"/>
        <v>68.946943200778691</v>
      </c>
      <c r="P477" s="310">
        <f t="shared" ca="1" si="221"/>
        <v>23</v>
      </c>
      <c r="Q477" s="304">
        <f t="shared" ca="1" si="222"/>
        <v>0</v>
      </c>
      <c r="R477" s="306">
        <f t="shared" ca="1" si="223"/>
        <v>0</v>
      </c>
      <c r="S477" s="307">
        <f t="shared" ca="1" si="224"/>
        <v>4.9929999999999914</v>
      </c>
      <c r="T477" s="304">
        <f t="shared" ca="1" si="204"/>
        <v>48.981329999999922</v>
      </c>
      <c r="U477" s="311">
        <f t="shared" ca="1" si="205"/>
        <v>0</v>
      </c>
      <c r="V477" s="306">
        <f t="shared" ca="1" si="206"/>
        <v>1.007510149364732</v>
      </c>
      <c r="W477" s="304">
        <f t="shared" ca="1" si="207"/>
        <v>16.576374898912857</v>
      </c>
      <c r="Y477" s="314" t="str">
        <f t="shared" ca="1" si="225"/>
        <v/>
      </c>
      <c r="Z477" s="315" t="str">
        <f t="shared" ca="1" si="226"/>
        <v/>
      </c>
      <c r="AA477" s="316" t="str">
        <f t="shared" ca="1" si="227"/>
        <v/>
      </c>
      <c r="AC477" s="310" t="e">
        <f t="shared" ca="1" si="228"/>
        <v>#N/A</v>
      </c>
      <c r="AD477" s="323" t="e">
        <f t="shared" ca="1" si="229"/>
        <v>#N/A</v>
      </c>
      <c r="AE477" s="324">
        <f t="shared" ca="1" si="208"/>
        <v>1948.3884603808444</v>
      </c>
      <c r="AG477" s="306">
        <f t="shared" ca="1" si="230"/>
        <v>-12.613093918388609</v>
      </c>
      <c r="AH477" s="304">
        <f t="shared" ca="1" si="231"/>
        <v>-3.4408204617897566</v>
      </c>
    </row>
    <row r="478" spans="1:34" x14ac:dyDescent="0.2">
      <c r="A478" s="347">
        <f t="shared" ca="1" si="209"/>
        <v>0.1</v>
      </c>
      <c r="B478" s="304">
        <f t="shared" ca="1" si="210"/>
        <v>11.399999999999933</v>
      </c>
      <c r="D478" s="306">
        <f t="shared" ca="1" si="211"/>
        <v>-1.1926235490814814</v>
      </c>
      <c r="E478" s="307">
        <f t="shared" ca="1" si="212"/>
        <v>-12.908311950868995</v>
      </c>
      <c r="F478" s="304">
        <f t="shared" ca="1" si="213"/>
        <v>12.963289256618904</v>
      </c>
      <c r="G478" s="306">
        <f t="shared" ca="1" si="214"/>
        <v>25.462133725146597</v>
      </c>
      <c r="H478" s="307">
        <f t="shared" ca="1" si="215"/>
        <v>65.166975424436629</v>
      </c>
      <c r="I478" s="304">
        <f t="shared" ca="1" si="216"/>
        <v>69.964669225305258</v>
      </c>
      <c r="J478" s="306">
        <f t="shared" ca="1" si="217"/>
        <v>443.04151742868299</v>
      </c>
      <c r="K478" s="307">
        <f t="shared" ca="1" si="218"/>
        <v>1954.9696994830424</v>
      </c>
      <c r="L478" s="304">
        <f t="shared" ca="1" si="203"/>
        <v>2004.5429184884836</v>
      </c>
      <c r="M478" s="306">
        <f t="shared" ca="1" si="219"/>
        <v>1.1983142203015438</v>
      </c>
      <c r="N478" s="304">
        <f t="shared" ca="1" si="220"/>
        <v>68.658347353788415</v>
      </c>
      <c r="P478" s="310">
        <f t="shared" ca="1" si="221"/>
        <v>23</v>
      </c>
      <c r="Q478" s="304">
        <f t="shared" ca="1" si="222"/>
        <v>0</v>
      </c>
      <c r="R478" s="306">
        <f t="shared" ca="1" si="223"/>
        <v>0</v>
      </c>
      <c r="S478" s="307">
        <f t="shared" ca="1" si="224"/>
        <v>4.9929999999999914</v>
      </c>
      <c r="T478" s="304">
        <f t="shared" ca="1" si="204"/>
        <v>48.981329999999922</v>
      </c>
      <c r="U478" s="311">
        <f t="shared" ca="1" si="205"/>
        <v>0</v>
      </c>
      <c r="V478" s="306">
        <f t="shared" ca="1" si="206"/>
        <v>1.0068409303545416</v>
      </c>
      <c r="W478" s="304">
        <f t="shared" ca="1" si="207"/>
        <v>15.99045611155247</v>
      </c>
      <c r="Y478" s="314" t="str">
        <f t="shared" ca="1" si="225"/>
        <v/>
      </c>
      <c r="Z478" s="315" t="str">
        <f t="shared" ca="1" si="226"/>
        <v/>
      </c>
      <c r="AA478" s="316" t="str">
        <f t="shared" ca="1" si="227"/>
        <v/>
      </c>
      <c r="AC478" s="310" t="e">
        <f t="shared" ca="1" si="228"/>
        <v>#N/A</v>
      </c>
      <c r="AD478" s="323" t="e">
        <f t="shared" ca="1" si="229"/>
        <v>#N/A</v>
      </c>
      <c r="AE478" s="324">
        <f t="shared" ca="1" si="208"/>
        <v>1954.9696994830424</v>
      </c>
      <c r="AG478" s="306">
        <f t="shared" ca="1" si="230"/>
        <v>-12.475087437875434</v>
      </c>
      <c r="AH478" s="304">
        <f t="shared" ca="1" si="231"/>
        <v>-3.3199228718031013</v>
      </c>
    </row>
    <row r="479" spans="1:34" x14ac:dyDescent="0.2">
      <c r="A479" s="347">
        <f t="shared" ca="1" si="209"/>
        <v>0.1</v>
      </c>
      <c r="B479" s="304">
        <f t="shared" ca="1" si="210"/>
        <v>11.499999999999932</v>
      </c>
      <c r="D479" s="306">
        <f t="shared" ca="1" si="211"/>
        <v>-1.1655080973656666</v>
      </c>
      <c r="E479" s="307">
        <f t="shared" ca="1" si="212"/>
        <v>-12.792964364176553</v>
      </c>
      <c r="F479" s="304">
        <f t="shared" ca="1" si="213"/>
        <v>12.845946689447072</v>
      </c>
      <c r="G479" s="306">
        <f t="shared" ca="1" si="214"/>
        <v>25.345582915410031</v>
      </c>
      <c r="H479" s="307">
        <f t="shared" ca="1" si="215"/>
        <v>63.887678988018976</v>
      </c>
      <c r="I479" s="304">
        <f t="shared" ca="1" si="216"/>
        <v>68.731609175095613</v>
      </c>
      <c r="J479" s="306">
        <f t="shared" ca="1" si="217"/>
        <v>445.58190326071082</v>
      </c>
      <c r="K479" s="307">
        <f t="shared" ca="1" si="218"/>
        <v>1961.4224322036653</v>
      </c>
      <c r="L479" s="304">
        <f t="shared" ca="1" si="203"/>
        <v>2011.3978199414405</v>
      </c>
      <c r="M479" s="306">
        <f t="shared" ca="1" si="219"/>
        <v>1.1931198792905695</v>
      </c>
      <c r="N479" s="304">
        <f t="shared" ca="1" si="220"/>
        <v>68.360733536507865</v>
      </c>
      <c r="P479" s="310">
        <f t="shared" ca="1" si="221"/>
        <v>23</v>
      </c>
      <c r="Q479" s="304">
        <f t="shared" ca="1" si="222"/>
        <v>0</v>
      </c>
      <c r="R479" s="306">
        <f t="shared" ca="1" si="223"/>
        <v>0</v>
      </c>
      <c r="S479" s="307">
        <f t="shared" ca="1" si="224"/>
        <v>4.9929999999999914</v>
      </c>
      <c r="T479" s="304">
        <f t="shared" ca="1" si="204"/>
        <v>48.981329999999922</v>
      </c>
      <c r="U479" s="311">
        <f t="shared" ca="1" si="205"/>
        <v>0</v>
      </c>
      <c r="V479" s="306">
        <f t="shared" ca="1" si="206"/>
        <v>1.0061851680493912</v>
      </c>
      <c r="W479" s="304">
        <f t="shared" ca="1" si="207"/>
        <v>15.421739185690322</v>
      </c>
      <c r="Y479" s="314" t="str">
        <f t="shared" ca="1" si="225"/>
        <v/>
      </c>
      <c r="Z479" s="315" t="str">
        <f t="shared" ca="1" si="226"/>
        <v/>
      </c>
      <c r="AA479" s="316" t="str">
        <f t="shared" ca="1" si="227"/>
        <v/>
      </c>
      <c r="AC479" s="310" t="e">
        <f t="shared" ca="1" si="228"/>
        <v>#N/A</v>
      </c>
      <c r="AD479" s="323" t="e">
        <f t="shared" ca="1" si="229"/>
        <v>#N/A</v>
      </c>
      <c r="AE479" s="324">
        <f t="shared" ca="1" si="208"/>
        <v>1961.4224322036653</v>
      </c>
      <c r="AG479" s="306">
        <f t="shared" ca="1" si="230"/>
        <v>-12.33987278034024</v>
      </c>
      <c r="AH479" s="304">
        <f t="shared" ca="1" si="231"/>
        <v>-3.2025748270683954</v>
      </c>
    </row>
    <row r="480" spans="1:34" x14ac:dyDescent="0.2">
      <c r="A480" s="347">
        <f t="shared" ca="1" si="209"/>
        <v>0.1</v>
      </c>
      <c r="B480" s="304">
        <f t="shared" ca="1" si="210"/>
        <v>11.599999999999932</v>
      </c>
      <c r="D480" s="306">
        <f t="shared" ca="1" si="211"/>
        <v>-1.1389838336989584</v>
      </c>
      <c r="E480" s="307">
        <f t="shared" ca="1" si="212"/>
        <v>-12.680994673224113</v>
      </c>
      <c r="F480" s="304">
        <f t="shared" ca="1" si="213"/>
        <v>12.732042651348836</v>
      </c>
      <c r="G480" s="306">
        <f t="shared" ca="1" si="214"/>
        <v>25.231684532040134</v>
      </c>
      <c r="H480" s="307">
        <f t="shared" ca="1" si="215"/>
        <v>62.619579520696561</v>
      </c>
      <c r="I480" s="304">
        <f t="shared" ca="1" si="216"/>
        <v>67.511848172548454</v>
      </c>
      <c r="J480" s="306">
        <f t="shared" ca="1" si="217"/>
        <v>448.1107666330833</v>
      </c>
      <c r="K480" s="307">
        <f t="shared" ca="1" si="218"/>
        <v>1967.747795129101</v>
      </c>
      <c r="L480" s="304">
        <f t="shared" ca="1" si="203"/>
        <v>2018.1265184343442</v>
      </c>
      <c r="M480" s="306">
        <f t="shared" ca="1" si="219"/>
        <v>1.1877614579424762</v>
      </c>
      <c r="N480" s="304">
        <f t="shared" ca="1" si="220"/>
        <v>68.053718608409326</v>
      </c>
      <c r="P480" s="310">
        <f t="shared" ca="1" si="221"/>
        <v>23</v>
      </c>
      <c r="Q480" s="304">
        <f t="shared" ca="1" si="222"/>
        <v>0</v>
      </c>
      <c r="R480" s="306">
        <f t="shared" ca="1" si="223"/>
        <v>0</v>
      </c>
      <c r="S480" s="307">
        <f t="shared" ca="1" si="224"/>
        <v>4.9929999999999914</v>
      </c>
      <c r="T480" s="304">
        <f t="shared" ca="1" si="204"/>
        <v>48.981329999999922</v>
      </c>
      <c r="U480" s="311">
        <f t="shared" ca="1" si="205"/>
        <v>0</v>
      </c>
      <c r="V480" s="306">
        <f t="shared" ca="1" si="206"/>
        <v>1.0055427236771515</v>
      </c>
      <c r="W480" s="304">
        <f t="shared" ca="1" si="207"/>
        <v>14.869725146523523</v>
      </c>
      <c r="Y480" s="314" t="str">
        <f t="shared" ca="1" si="225"/>
        <v/>
      </c>
      <c r="Z480" s="315" t="str">
        <f t="shared" ca="1" si="226"/>
        <v/>
      </c>
      <c r="AA480" s="316" t="str">
        <f t="shared" ca="1" si="227"/>
        <v/>
      </c>
      <c r="AC480" s="310" t="e">
        <f t="shared" ca="1" si="228"/>
        <v>#N/A</v>
      </c>
      <c r="AD480" s="323" t="e">
        <f t="shared" ca="1" si="229"/>
        <v>#N/A</v>
      </c>
      <c r="AE480" s="324">
        <f t="shared" ca="1" si="208"/>
        <v>1967.747795129101</v>
      </c>
      <c r="AG480" s="306">
        <f t="shared" ca="1" si="230"/>
        <v>-12.207302232523093</v>
      </c>
      <c r="AH480" s="304">
        <f t="shared" ca="1" si="231"/>
        <v>-3.0886719779071399</v>
      </c>
    </row>
    <row r="481" spans="1:34" x14ac:dyDescent="0.2">
      <c r="A481" s="347">
        <f t="shared" ca="1" si="209"/>
        <v>0.1</v>
      </c>
      <c r="B481" s="304">
        <f t="shared" ca="1" si="210"/>
        <v>11.699999999999932</v>
      </c>
      <c r="D481" s="306">
        <f t="shared" ca="1" si="211"/>
        <v>-1.1130319315637494</v>
      </c>
      <c r="E481" s="307">
        <f t="shared" ca="1" si="212"/>
        <v>-12.572304334422306</v>
      </c>
      <c r="F481" s="304">
        <f t="shared" ca="1" si="213"/>
        <v>12.621476789901189</v>
      </c>
      <c r="G481" s="306">
        <f t="shared" ca="1" si="214"/>
        <v>25.12038133888376</v>
      </c>
      <c r="H481" s="307">
        <f t="shared" ca="1" si="215"/>
        <v>61.36234908725433</v>
      </c>
      <c r="I481" s="304">
        <f t="shared" ca="1" si="216"/>
        <v>66.305138896747678</v>
      </c>
      <c r="J481" s="306">
        <f t="shared" ca="1" si="217"/>
        <v>450.62836992662949</v>
      </c>
      <c r="K481" s="307">
        <f t="shared" ca="1" si="218"/>
        <v>1973.9468915594985</v>
      </c>
      <c r="L481" s="304">
        <f t="shared" ca="1" si="203"/>
        <v>2024.7301693016127</v>
      </c>
      <c r="M481" s="306">
        <f t="shared" ca="1" si="219"/>
        <v>1.1822319016928824</v>
      </c>
      <c r="N481" s="304">
        <f t="shared" ca="1" si="220"/>
        <v>67.73689837272741</v>
      </c>
      <c r="P481" s="310">
        <f t="shared" ca="1" si="221"/>
        <v>23</v>
      </c>
      <c r="Q481" s="304">
        <f t="shared" ca="1" si="222"/>
        <v>0</v>
      </c>
      <c r="R481" s="306">
        <f t="shared" ca="1" si="223"/>
        <v>0</v>
      </c>
      <c r="S481" s="307">
        <f t="shared" ca="1" si="224"/>
        <v>4.9929999999999914</v>
      </c>
      <c r="T481" s="304">
        <f t="shared" ca="1" si="204"/>
        <v>48.981329999999922</v>
      </c>
      <c r="U481" s="311">
        <f t="shared" ca="1" si="205"/>
        <v>0</v>
      </c>
      <c r="V481" s="306">
        <f t="shared" ca="1" si="206"/>
        <v>1.0049134626024598</v>
      </c>
      <c r="W481" s="304">
        <f t="shared" ca="1" si="207"/>
        <v>14.333936021384433</v>
      </c>
      <c r="Y481" s="314" t="str">
        <f t="shared" ca="1" si="225"/>
        <v/>
      </c>
      <c r="Z481" s="315" t="str">
        <f t="shared" ca="1" si="226"/>
        <v/>
      </c>
      <c r="AA481" s="316" t="str">
        <f t="shared" ca="1" si="227"/>
        <v/>
      </c>
      <c r="AC481" s="310" t="e">
        <f t="shared" ca="1" si="228"/>
        <v>#N/A</v>
      </c>
      <c r="AD481" s="323" t="e">
        <f t="shared" ca="1" si="229"/>
        <v>#N/A</v>
      </c>
      <c r="AE481" s="324">
        <f t="shared" ca="1" si="208"/>
        <v>1973.9468915594985</v>
      </c>
      <c r="AG481" s="306">
        <f t="shared" ca="1" si="230"/>
        <v>-12.077229459266945</v>
      </c>
      <c r="AH481" s="304">
        <f t="shared" ca="1" si="231"/>
        <v>-2.9781143894499396</v>
      </c>
    </row>
    <row r="482" spans="1:34" x14ac:dyDescent="0.2">
      <c r="A482" s="347">
        <f t="shared" ca="1" si="209"/>
        <v>0.1</v>
      </c>
      <c r="B482" s="304">
        <f t="shared" ca="1" si="210"/>
        <v>11.799999999999931</v>
      </c>
      <c r="D482" s="306">
        <f t="shared" ca="1" si="211"/>
        <v>-1.0876343981564212</v>
      </c>
      <c r="E482" s="307">
        <f t="shared" ca="1" si="212"/>
        <v>-12.466798904388993</v>
      </c>
      <c r="F482" s="304">
        <f t="shared" ca="1" si="213"/>
        <v>12.514152928046215</v>
      </c>
      <c r="G482" s="306">
        <f t="shared" ca="1" si="214"/>
        <v>25.011617899068117</v>
      </c>
      <c r="H482" s="307">
        <f t="shared" ca="1" si="215"/>
        <v>60.115669196815432</v>
      </c>
      <c r="I482" s="304">
        <f t="shared" ca="1" si="216"/>
        <v>65.111248743284975</v>
      </c>
      <c r="J482" s="306">
        <f t="shared" ca="1" si="217"/>
        <v>453.13496988852711</v>
      </c>
      <c r="K482" s="307">
        <f t="shared" ca="1" si="218"/>
        <v>1980.0207924737019</v>
      </c>
      <c r="L482" s="304">
        <f t="shared" ca="1" si="203"/>
        <v>2031.2098954967857</v>
      </c>
      <c r="M482" s="306">
        <f t="shared" ca="1" si="219"/>
        <v>1.1765237647984781</v>
      </c>
      <c r="N482" s="304">
        <f t="shared" ca="1" si="220"/>
        <v>67.409846219795128</v>
      </c>
      <c r="P482" s="310">
        <f t="shared" ca="1" si="221"/>
        <v>23</v>
      </c>
      <c r="Q482" s="304">
        <f t="shared" ca="1" si="222"/>
        <v>0</v>
      </c>
      <c r="R482" s="306">
        <f t="shared" ca="1" si="223"/>
        <v>0</v>
      </c>
      <c r="S482" s="307">
        <f t="shared" ca="1" si="224"/>
        <v>4.9929999999999914</v>
      </c>
      <c r="T482" s="304">
        <f t="shared" ca="1" si="204"/>
        <v>48.981329999999922</v>
      </c>
      <c r="U482" s="311">
        <f t="shared" ca="1" si="205"/>
        <v>0</v>
      </c>
      <c r="V482" s="306">
        <f t="shared" ca="1" si="206"/>
        <v>1.0042972542036157</v>
      </c>
      <c r="W482" s="304">
        <f t="shared" ca="1" si="207"/>
        <v>13.813913857710137</v>
      </c>
      <c r="Y482" s="314" t="str">
        <f t="shared" ca="1" si="225"/>
        <v/>
      </c>
      <c r="Z482" s="315" t="str">
        <f t="shared" ca="1" si="226"/>
        <v/>
      </c>
      <c r="AA482" s="316" t="str">
        <f t="shared" ca="1" si="227"/>
        <v/>
      </c>
      <c r="AC482" s="310" t="e">
        <f t="shared" ca="1" si="228"/>
        <v>#N/A</v>
      </c>
      <c r="AD482" s="323" t="e">
        <f t="shared" ca="1" si="229"/>
        <v>#N/A</v>
      </c>
      <c r="AE482" s="324">
        <f t="shared" ca="1" si="208"/>
        <v>1980.0207924737019</v>
      </c>
      <c r="AG482" s="306">
        <f t="shared" ca="1" si="230"/>
        <v>-11.949509048529533</v>
      </c>
      <c r="AH482" s="304">
        <f t="shared" ca="1" si="231"/>
        <v>-2.870806333143292</v>
      </c>
    </row>
    <row r="483" spans="1:34" x14ac:dyDescent="0.2">
      <c r="A483" s="347">
        <f t="shared" ca="1" si="209"/>
        <v>0.1</v>
      </c>
      <c r="B483" s="304">
        <f t="shared" ca="1" si="210"/>
        <v>11.899999999999931</v>
      </c>
      <c r="D483" s="306">
        <f t="shared" ca="1" si="211"/>
        <v>-1.0627740416367046</v>
      </c>
      <c r="E483" s="307">
        <f t="shared" ca="1" si="212"/>
        <v>-12.364387843913732</v>
      </c>
      <c r="F483" s="304">
        <f t="shared" ca="1" si="213"/>
        <v>12.409978864538749</v>
      </c>
      <c r="G483" s="306">
        <f t="shared" ca="1" si="214"/>
        <v>24.905340494904447</v>
      </c>
      <c r="H483" s="307">
        <f t="shared" ca="1" si="215"/>
        <v>58.879230412424057</v>
      </c>
      <c r="I483" s="304">
        <f t="shared" ca="1" si="216"/>
        <v>63.92995979293628</v>
      </c>
      <c r="J483" s="306">
        <f t="shared" ca="1" si="217"/>
        <v>455.63081780822574</v>
      </c>
      <c r="K483" s="307">
        <f t="shared" ca="1" si="218"/>
        <v>1985.9705374541638</v>
      </c>
      <c r="L483" s="304">
        <f t="shared" ca="1" si="203"/>
        <v>2037.5667885427886</v>
      </c>
      <c r="M483" s="306">
        <f t="shared" ca="1" si="219"/>
        <v>1.1706291849933672</v>
      </c>
      <c r="N483" s="304">
        <f t="shared" ca="1" si="220"/>
        <v>67.072111674959231</v>
      </c>
      <c r="P483" s="310">
        <f t="shared" ca="1" si="221"/>
        <v>23</v>
      </c>
      <c r="Q483" s="304">
        <f t="shared" ca="1" si="222"/>
        <v>0</v>
      </c>
      <c r="R483" s="306">
        <f t="shared" ca="1" si="223"/>
        <v>0</v>
      </c>
      <c r="S483" s="307">
        <f t="shared" ca="1" si="224"/>
        <v>4.9929999999999914</v>
      </c>
      <c r="T483" s="304">
        <f t="shared" ca="1" si="204"/>
        <v>48.981329999999922</v>
      </c>
      <c r="U483" s="311">
        <f t="shared" ca="1" si="205"/>
        <v>0</v>
      </c>
      <c r="V483" s="306">
        <f t="shared" ca="1" si="206"/>
        <v>1.0036939717546758</v>
      </c>
      <c r="W483" s="304">
        <f t="shared" ca="1" si="207"/>
        <v>13.309219796239262</v>
      </c>
      <c r="Y483" s="314" t="str">
        <f t="shared" ca="1" si="225"/>
        <v/>
      </c>
      <c r="Z483" s="315" t="str">
        <f t="shared" ca="1" si="226"/>
        <v/>
      </c>
      <c r="AA483" s="316" t="str">
        <f t="shared" ca="1" si="227"/>
        <v/>
      </c>
      <c r="AC483" s="310" t="e">
        <f t="shared" ca="1" si="228"/>
        <v>#N/A</v>
      </c>
      <c r="AD483" s="323" t="e">
        <f t="shared" ca="1" si="229"/>
        <v>#N/A</v>
      </c>
      <c r="AE483" s="324">
        <f t="shared" ca="1" si="208"/>
        <v>1985.9705374541638</v>
      </c>
      <c r="AG483" s="306">
        <f t="shared" ca="1" si="230"/>
        <v>-11.823996045962918</v>
      </c>
      <c r="AH483" s="304">
        <f t="shared" ca="1" si="231"/>
        <v>-2.7666560900681274</v>
      </c>
    </row>
    <row r="484" spans="1:34" x14ac:dyDescent="0.2">
      <c r="A484" s="347">
        <f t="shared" ca="1" si="209"/>
        <v>0.1</v>
      </c>
      <c r="B484" s="304">
        <f t="shared" ca="1" si="210"/>
        <v>11.999999999999931</v>
      </c>
      <c r="D484" s="306">
        <f t="shared" ca="1" si="211"/>
        <v>-1.0384344408359536</v>
      </c>
      <c r="E484" s="307">
        <f t="shared" ca="1" si="212"/>
        <v>-12.264984332484286</v>
      </c>
      <c r="F484" s="304">
        <f t="shared" ca="1" si="213"/>
        <v>12.30886618515285</v>
      </c>
      <c r="G484" s="306">
        <f t="shared" ca="1" si="214"/>
        <v>24.801497050820853</v>
      </c>
      <c r="H484" s="307">
        <f t="shared" ca="1" si="215"/>
        <v>57.652731979175627</v>
      </c>
      <c r="I484" s="304">
        <f t="shared" ca="1" si="216"/>
        <v>62.76106882952628</v>
      </c>
      <c r="J484" s="306">
        <f t="shared" ca="1" si="217"/>
        <v>458.116159685512</v>
      </c>
      <c r="K484" s="307">
        <f t="shared" ca="1" si="218"/>
        <v>1991.7971355737438</v>
      </c>
      <c r="L484" s="304">
        <f t="shared" ca="1" si="203"/>
        <v>2043.8019094434696</v>
      </c>
      <c r="M484" s="306">
        <f t="shared" ca="1" si="219"/>
        <v>1.1645398563665672</v>
      </c>
      <c r="N484" s="304">
        <f t="shared" ca="1" si="220"/>
        <v>66.723218844575399</v>
      </c>
      <c r="P484" s="310">
        <f t="shared" ca="1" si="221"/>
        <v>23</v>
      </c>
      <c r="Q484" s="304">
        <f t="shared" ca="1" si="222"/>
        <v>0</v>
      </c>
      <c r="R484" s="306">
        <f t="shared" ca="1" si="223"/>
        <v>0</v>
      </c>
      <c r="S484" s="307">
        <f t="shared" ca="1" si="224"/>
        <v>4.9929999999999914</v>
      </c>
      <c r="T484" s="304">
        <f t="shared" ca="1" si="204"/>
        <v>48.981329999999922</v>
      </c>
      <c r="U484" s="311">
        <f t="shared" ca="1" si="205"/>
        <v>0</v>
      </c>
      <c r="V484" s="306">
        <f t="shared" ca="1" si="206"/>
        <v>1.0031034923125051</v>
      </c>
      <c r="W484" s="304">
        <f t="shared" ca="1" si="207"/>
        <v>12.819433195954414</v>
      </c>
      <c r="Y484" s="314" t="str">
        <f t="shared" ca="1" si="225"/>
        <v/>
      </c>
      <c r="Z484" s="315" t="str">
        <f t="shared" ca="1" si="226"/>
        <v/>
      </c>
      <c r="AA484" s="316" t="str">
        <f t="shared" ca="1" si="227"/>
        <v/>
      </c>
      <c r="AC484" s="310">
        <f t="shared" ca="1" si="228"/>
        <v>11.999999999999931</v>
      </c>
      <c r="AD484" s="323">
        <f t="shared" ca="1" si="229"/>
        <v>458.116159685512</v>
      </c>
      <c r="AE484" s="324">
        <f t="shared" ca="1" si="208"/>
        <v>1991.7971355737438</v>
      </c>
      <c r="AG484" s="306">
        <f t="shared" ca="1" si="230"/>
        <v>-11.700545476182482</v>
      </c>
      <c r="AH484" s="304">
        <f t="shared" ca="1" si="231"/>
        <v>-2.665575765319304</v>
      </c>
    </row>
    <row r="485" spans="1:34" x14ac:dyDescent="0.2">
      <c r="A485" s="347">
        <f t="shared" ca="1" si="209"/>
        <v>0.1</v>
      </c>
      <c r="B485" s="304">
        <f t="shared" ca="1" si="210"/>
        <v>12.09999999999993</v>
      </c>
      <c r="D485" s="306">
        <f t="shared" ca="1" si="211"/>
        <v>-1.0145999173283462</v>
      </c>
      <c r="E485" s="307">
        <f t="shared" ca="1" si="212"/>
        <v>-12.168505092654836</v>
      </c>
      <c r="F485" s="304">
        <f t="shared" ca="1" si="213"/>
        <v>12.210730083914285</v>
      </c>
      <c r="G485" s="306">
        <f t="shared" ca="1" si="214"/>
        <v>24.700037059088018</v>
      </c>
      <c r="H485" s="307">
        <f t="shared" ca="1" si="215"/>
        <v>56.435881469910143</v>
      </c>
      <c r="I485" s="304">
        <f t="shared" ca="1" si="216"/>
        <v>61.604387408739555</v>
      </c>
      <c r="J485" s="306">
        <f t="shared" ca="1" si="217"/>
        <v>460.59123639100744</v>
      </c>
      <c r="K485" s="307">
        <f t="shared" ca="1" si="218"/>
        <v>1997.5015662461981</v>
      </c>
      <c r="L485" s="304">
        <f t="shared" ca="1" si="203"/>
        <v>2049.9162895582376</v>
      </c>
      <c r="M485" s="306">
        <f t="shared" ca="1" si="219"/>
        <v>1.1582470003423397</v>
      </c>
      <c r="N485" s="304">
        <f t="shared" ca="1" si="220"/>
        <v>66.36266475330369</v>
      </c>
      <c r="P485" s="310">
        <f t="shared" ca="1" si="221"/>
        <v>23</v>
      </c>
      <c r="Q485" s="304">
        <f t="shared" ca="1" si="222"/>
        <v>0</v>
      </c>
      <c r="R485" s="306">
        <f t="shared" ca="1" si="223"/>
        <v>0</v>
      </c>
      <c r="S485" s="307">
        <f t="shared" ca="1" si="224"/>
        <v>4.9929999999999914</v>
      </c>
      <c r="T485" s="304">
        <f t="shared" ca="1" si="204"/>
        <v>48.981329999999922</v>
      </c>
      <c r="U485" s="311">
        <f t="shared" ca="1" si="205"/>
        <v>0</v>
      </c>
      <c r="V485" s="306">
        <f t="shared" ca="1" si="206"/>
        <v>1.0025256966085394</v>
      </c>
      <c r="W485" s="304">
        <f t="shared" ca="1" si="207"/>
        <v>12.344150807534037</v>
      </c>
      <c r="Y485" s="314" t="str">
        <f t="shared" ca="1" si="225"/>
        <v/>
      </c>
      <c r="Z485" s="315" t="str">
        <f t="shared" ca="1" si="226"/>
        <v/>
      </c>
      <c r="AA485" s="316" t="str">
        <f t="shared" ca="1" si="227"/>
        <v/>
      </c>
      <c r="AC485" s="310" t="e">
        <f t="shared" ca="1" si="228"/>
        <v>#N/A</v>
      </c>
      <c r="AD485" s="323" t="e">
        <f t="shared" ca="1" si="229"/>
        <v>#N/A</v>
      </c>
      <c r="AE485" s="324">
        <f t="shared" ca="1" si="208"/>
        <v>1997.5015662461981</v>
      </c>
      <c r="AG485" s="306">
        <f t="shared" ca="1" si="230"/>
        <v>-11.579011847700718</v>
      </c>
      <c r="AH485" s="304">
        <f t="shared" ca="1" si="231"/>
        <v>-2.5674811127487351</v>
      </c>
    </row>
    <row r="486" spans="1:34" x14ac:dyDescent="0.2">
      <c r="A486" s="347">
        <f t="shared" ca="1" si="209"/>
        <v>0.1</v>
      </c>
      <c r="B486" s="304">
        <f t="shared" ca="1" si="210"/>
        <v>12.19999999999993</v>
      </c>
      <c r="D486" s="306">
        <f t="shared" ca="1" si="211"/>
        <v>-0.99125550978165011</v>
      </c>
      <c r="E486" s="307">
        <f t="shared" ca="1" si="212"/>
        <v>-12.074870223579255</v>
      </c>
      <c r="F486" s="304">
        <f t="shared" ca="1" si="213"/>
        <v>12.115489193670777</v>
      </c>
      <c r="G486" s="306">
        <f t="shared" ca="1" si="214"/>
        <v>24.600911508109853</v>
      </c>
      <c r="H486" s="307">
        <f t="shared" ca="1" si="215"/>
        <v>55.228394447552219</v>
      </c>
      <c r="I486" s="304">
        <f t="shared" ca="1" si="216"/>
        <v>60.459741979967696</v>
      </c>
      <c r="J486" s="306">
        <f t="shared" ca="1" si="217"/>
        <v>463.05628381936731</v>
      </c>
      <c r="K486" s="307">
        <f t="shared" ca="1" si="218"/>
        <v>2003.0847800420711</v>
      </c>
      <c r="L486" s="304">
        <f t="shared" ca="1" si="203"/>
        <v>2055.9109314415336</v>
      </c>
      <c r="M486" s="306">
        <f t="shared" ca="1" si="219"/>
        <v>1.1517413346408205</v>
      </c>
      <c r="N486" s="304">
        <f t="shared" ca="1" si="220"/>
        <v>65.989917565683612</v>
      </c>
      <c r="P486" s="310">
        <f t="shared" ca="1" si="221"/>
        <v>23</v>
      </c>
      <c r="Q486" s="304">
        <f t="shared" ca="1" si="222"/>
        <v>0</v>
      </c>
      <c r="R486" s="306">
        <f t="shared" ca="1" si="223"/>
        <v>0</v>
      </c>
      <c r="S486" s="307">
        <f t="shared" ca="1" si="224"/>
        <v>4.9929999999999914</v>
      </c>
      <c r="T486" s="304">
        <f t="shared" ca="1" si="204"/>
        <v>48.981329999999922</v>
      </c>
      <c r="U486" s="311">
        <f t="shared" ca="1" si="205"/>
        <v>0</v>
      </c>
      <c r="V486" s="306">
        <f t="shared" ca="1" si="206"/>
        <v>1.0019604689450416</v>
      </c>
      <c r="W486" s="304">
        <f t="shared" ca="1" si="207"/>
        <v>11.882985992304233</v>
      </c>
      <c r="Y486" s="314" t="str">
        <f t="shared" ca="1" si="225"/>
        <v/>
      </c>
      <c r="Z486" s="315" t="str">
        <f t="shared" ca="1" si="226"/>
        <v/>
      </c>
      <c r="AA486" s="316" t="str">
        <f t="shared" ca="1" si="227"/>
        <v/>
      </c>
      <c r="AC486" s="310" t="e">
        <f t="shared" ca="1" si="228"/>
        <v>#N/A</v>
      </c>
      <c r="AD486" s="323" t="e">
        <f t="shared" ca="1" si="229"/>
        <v>#N/A</v>
      </c>
      <c r="AE486" s="324">
        <f t="shared" ca="1" si="208"/>
        <v>2003.0847800420711</v>
      </c>
      <c r="AG486" s="306">
        <f t="shared" ca="1" si="230"/>
        <v>-11.459248638335612</v>
      </c>
      <c r="AH486" s="304">
        <f t="shared" ca="1" si="231"/>
        <v>-2.4722913694240054</v>
      </c>
    </row>
    <row r="487" spans="1:34" x14ac:dyDescent="0.2">
      <c r="A487" s="347">
        <f t="shared" ca="1" si="209"/>
        <v>0.1</v>
      </c>
      <c r="B487" s="304">
        <f t="shared" ca="1" si="210"/>
        <v>12.29999999999993</v>
      </c>
      <c r="D487" s="306">
        <f t="shared" ca="1" si="211"/>
        <v>-0.96838695051638157</v>
      </c>
      <c r="E487" s="307">
        <f t="shared" ca="1" si="212"/>
        <v>-11.98400304307221</v>
      </c>
      <c r="F487" s="304">
        <f t="shared" ca="1" si="213"/>
        <v>12.023065425351989</v>
      </c>
      <c r="G487" s="306">
        <f t="shared" ca="1" si="214"/>
        <v>24.504072813058215</v>
      </c>
      <c r="H487" s="307">
        <f t="shared" ca="1" si="215"/>
        <v>54.029994143244998</v>
      </c>
      <c r="I487" s="304">
        <f t="shared" ca="1" si="216"/>
        <v>59.32697406363102</v>
      </c>
      <c r="J487" s="306">
        <f t="shared" ca="1" si="217"/>
        <v>465.51153303542571</v>
      </c>
      <c r="K487" s="307">
        <f t="shared" ca="1" si="218"/>
        <v>2008.5476994716109</v>
      </c>
      <c r="L487" s="304">
        <f t="shared" ca="1" si="203"/>
        <v>2061.7868096487796</v>
      </c>
      <c r="M487" s="306">
        <f t="shared" ca="1" si="219"/>
        <v>1.1450130400931593</v>
      </c>
      <c r="N487" s="304">
        <f t="shared" ca="1" si="220"/>
        <v>65.604414684781744</v>
      </c>
      <c r="P487" s="310">
        <f t="shared" ca="1" si="221"/>
        <v>23</v>
      </c>
      <c r="Q487" s="304">
        <f t="shared" ca="1" si="222"/>
        <v>0</v>
      </c>
      <c r="R487" s="306">
        <f t="shared" ca="1" si="223"/>
        <v>0</v>
      </c>
      <c r="S487" s="307">
        <f t="shared" ca="1" si="224"/>
        <v>4.9929999999999914</v>
      </c>
      <c r="T487" s="304">
        <f t="shared" ca="1" si="204"/>
        <v>48.981329999999922</v>
      </c>
      <c r="U487" s="311">
        <f t="shared" ca="1" si="205"/>
        <v>0</v>
      </c>
      <c r="V487" s="306">
        <f t="shared" ca="1" si="206"/>
        <v>1.0014076970956338</v>
      </c>
      <c r="W487" s="304">
        <f t="shared" ca="1" si="207"/>
        <v>11.435567983889579</v>
      </c>
      <c r="Y487" s="314" t="str">
        <f t="shared" ca="1" si="225"/>
        <v/>
      </c>
      <c r="Z487" s="315" t="str">
        <f t="shared" ca="1" si="226"/>
        <v/>
      </c>
      <c r="AA487" s="316" t="str">
        <f t="shared" ca="1" si="227"/>
        <v/>
      </c>
      <c r="AC487" s="310" t="e">
        <f t="shared" ca="1" si="228"/>
        <v>#N/A</v>
      </c>
      <c r="AD487" s="323" t="e">
        <f t="shared" ca="1" si="229"/>
        <v>#N/A</v>
      </c>
      <c r="AE487" s="324">
        <f t="shared" ca="1" si="208"/>
        <v>2008.5476994716109</v>
      </c>
      <c r="AG487" s="306">
        <f t="shared" ca="1" si="230"/>
        <v>-11.341107757719318</v>
      </c>
      <c r="AH487" s="304">
        <f t="shared" ca="1" si="231"/>
        <v>-2.3799290991997304</v>
      </c>
    </row>
    <row r="488" spans="1:34" x14ac:dyDescent="0.2">
      <c r="A488" s="347">
        <f t="shared" ca="1" si="209"/>
        <v>0.1</v>
      </c>
      <c r="B488" s="304">
        <f t="shared" ca="1" si="210"/>
        <v>12.399999999999929</v>
      </c>
      <c r="D488" s="306">
        <f t="shared" ca="1" si="211"/>
        <v>-0.94598064421403771</v>
      </c>
      <c r="E488" s="307">
        <f t="shared" ca="1" si="212"/>
        <v>-11.895829937595941</v>
      </c>
      <c r="F488" s="304">
        <f t="shared" ca="1" si="213"/>
        <v>11.933383815307018</v>
      </c>
      <c r="G488" s="306">
        <f t="shared" ca="1" si="214"/>
        <v>24.409474748636811</v>
      </c>
      <c r="H488" s="307">
        <f t="shared" ca="1" si="215"/>
        <v>52.840411149485405</v>
      </c>
      <c r="I488" s="304">
        <f t="shared" ca="1" si="216"/>
        <v>58.205940486783646</v>
      </c>
      <c r="J488" s="306">
        <f t="shared" ca="1" si="217"/>
        <v>467.95721041351044</v>
      </c>
      <c r="K488" s="307">
        <f t="shared" ca="1" si="218"/>
        <v>2013.8912197362474</v>
      </c>
      <c r="L488" s="304">
        <f t="shared" ca="1" si="203"/>
        <v>2067.5448715103489</v>
      </c>
      <c r="M488" s="306">
        <f t="shared" ca="1" si="219"/>
        <v>1.1380517251834836</v>
      </c>
      <c r="N488" s="304">
        <f t="shared" ca="1" si="220"/>
        <v>65.205560720595841</v>
      </c>
      <c r="P488" s="310">
        <f t="shared" ca="1" si="221"/>
        <v>23</v>
      </c>
      <c r="Q488" s="304">
        <f t="shared" ca="1" si="222"/>
        <v>0</v>
      </c>
      <c r="R488" s="306">
        <f t="shared" ca="1" si="223"/>
        <v>0</v>
      </c>
      <c r="S488" s="307">
        <f t="shared" ca="1" si="224"/>
        <v>4.9929999999999914</v>
      </c>
      <c r="T488" s="304">
        <f t="shared" ca="1" si="204"/>
        <v>48.981329999999922</v>
      </c>
      <c r="U488" s="311">
        <f t="shared" ca="1" si="205"/>
        <v>0</v>
      </c>
      <c r="V488" s="306">
        <f t="shared" ca="1" si="206"/>
        <v>1.0008672722099097</v>
      </c>
      <c r="W488" s="304">
        <f t="shared" ca="1" si="207"/>
        <v>11.001541189954686</v>
      </c>
      <c r="Y488" s="314" t="str">
        <f t="shared" ca="1" si="225"/>
        <v/>
      </c>
      <c r="Z488" s="315" t="str">
        <f t="shared" ca="1" si="226"/>
        <v/>
      </c>
      <c r="AA488" s="316" t="str">
        <f t="shared" ca="1" si="227"/>
        <v/>
      </c>
      <c r="AC488" s="310" t="e">
        <f t="shared" ca="1" si="228"/>
        <v>#N/A</v>
      </c>
      <c r="AD488" s="323" t="e">
        <f t="shared" ca="1" si="229"/>
        <v>#N/A</v>
      </c>
      <c r="AE488" s="324">
        <f t="shared" ca="1" si="208"/>
        <v>2013.8912197362474</v>
      </c>
      <c r="AG488" s="306">
        <f t="shared" ca="1" si="230"/>
        <v>-11.224438983331416</v>
      </c>
      <c r="AH488" s="304">
        <f t="shared" ca="1" si="231"/>
        <v>-2.2903200448406964</v>
      </c>
    </row>
    <row r="489" spans="1:34" x14ac:dyDescent="0.2">
      <c r="A489" s="347">
        <f t="shared" ca="1" si="209"/>
        <v>0.1</v>
      </c>
      <c r="B489" s="304">
        <f t="shared" ca="1" si="210"/>
        <v>12.499999999999929</v>
      </c>
      <c r="D489" s="306">
        <f t="shared" ca="1" si="211"/>
        <v>-0.92402364872668408</v>
      </c>
      <c r="E489" s="307">
        <f t="shared" ca="1" si="212"/>
        <v>-11.810280219601712</v>
      </c>
      <c r="F489" s="304">
        <f t="shared" ca="1" si="213"/>
        <v>11.846372380139062</v>
      </c>
      <c r="G489" s="306">
        <f t="shared" ca="1" si="214"/>
        <v>24.317072383764142</v>
      </c>
      <c r="H489" s="307">
        <f t="shared" ca="1" si="215"/>
        <v>51.659383127525231</v>
      </c>
      <c r="I489" s="304">
        <f t="shared" ca="1" si="216"/>
        <v>57.096513680203479</v>
      </c>
      <c r="J489" s="306">
        <f t="shared" ca="1" si="217"/>
        <v>470.39353777013048</v>
      </c>
      <c r="K489" s="307">
        <f t="shared" ca="1" si="218"/>
        <v>2019.116209450098</v>
      </c>
      <c r="L489" s="304">
        <f t="shared" ca="1" si="203"/>
        <v>2073.1860378750462</v>
      </c>
      <c r="M489" s="306">
        <f t="shared" ca="1" si="219"/>
        <v>1.130846388189958</v>
      </c>
      <c r="N489" s="304">
        <f t="shared" ca="1" si="220"/>
        <v>64.792725320897333</v>
      </c>
      <c r="P489" s="310">
        <f t="shared" ca="1" si="221"/>
        <v>23</v>
      </c>
      <c r="Q489" s="304">
        <f t="shared" ca="1" si="222"/>
        <v>0</v>
      </c>
      <c r="R489" s="306">
        <f t="shared" ca="1" si="223"/>
        <v>0</v>
      </c>
      <c r="S489" s="307">
        <f t="shared" ca="1" si="224"/>
        <v>4.9929999999999914</v>
      </c>
      <c r="T489" s="304">
        <f t="shared" ca="1" si="204"/>
        <v>48.981329999999922</v>
      </c>
      <c r="U489" s="311">
        <f t="shared" ca="1" si="205"/>
        <v>0</v>
      </c>
      <c r="V489" s="306">
        <f t="shared" ca="1" si="206"/>
        <v>1.0003390887219321</v>
      </c>
      <c r="W489" s="304">
        <f t="shared" ca="1" si="207"/>
        <v>10.580564531605756</v>
      </c>
      <c r="Y489" s="314" t="str">
        <f t="shared" ca="1" si="225"/>
        <v/>
      </c>
      <c r="Z489" s="315" t="str">
        <f t="shared" ca="1" si="226"/>
        <v/>
      </c>
      <c r="AA489" s="316" t="str">
        <f t="shared" ca="1" si="227"/>
        <v/>
      </c>
      <c r="AC489" s="310" t="e">
        <f t="shared" ca="1" si="228"/>
        <v>#N/A</v>
      </c>
      <c r="AD489" s="323" t="e">
        <f t="shared" ca="1" si="229"/>
        <v>#N/A</v>
      </c>
      <c r="AE489" s="324">
        <f t="shared" ca="1" si="208"/>
        <v>2019.116209450098</v>
      </c>
      <c r="AG489" s="306">
        <f t="shared" ca="1" si="230"/>
        <v>-11.109089366264055</v>
      </c>
      <c r="AH489" s="304">
        <f t="shared" ca="1" si="231"/>
        <v>-2.203392988174385</v>
      </c>
    </row>
    <row r="490" spans="1:34" x14ac:dyDescent="0.2">
      <c r="A490" s="347">
        <f t="shared" ca="1" si="209"/>
        <v>0.1</v>
      </c>
      <c r="B490" s="304">
        <f t="shared" ca="1" si="210"/>
        <v>12.599999999999929</v>
      </c>
      <c r="D490" s="306">
        <f t="shared" ca="1" si="211"/>
        <v>-0.90250365795152199</v>
      </c>
      <c r="E490" s="307">
        <f t="shared" ca="1" si="212"/>
        <v>-11.727285991682102</v>
      </c>
      <c r="F490" s="304">
        <f t="shared" ca="1" si="213"/>
        <v>11.761961978484676</v>
      </c>
      <c r="G490" s="306">
        <f t="shared" ca="1" si="214"/>
        <v>24.226822017968988</v>
      </c>
      <c r="H490" s="307">
        <f t="shared" ca="1" si="215"/>
        <v>50.486654528357022</v>
      </c>
      <c r="I490" s="304">
        <f t="shared" ca="1" si="216"/>
        <v>55.998582040584026</v>
      </c>
      <c r="J490" s="306">
        <f t="shared" ca="1" si="217"/>
        <v>472.82073249021715</v>
      </c>
      <c r="K490" s="307">
        <f t="shared" ca="1" si="218"/>
        <v>2024.2235113328923</v>
      </c>
      <c r="L490" s="304">
        <f t="shared" ca="1" si="203"/>
        <v>2078.7112038244873</v>
      </c>
      <c r="M490" s="306">
        <f t="shared" ca="1" si="219"/>
        <v>1.1233853767996147</v>
      </c>
      <c r="N490" s="304">
        <f t="shared" ca="1" si="220"/>
        <v>64.365240857331628</v>
      </c>
      <c r="P490" s="310">
        <f t="shared" ca="1" si="221"/>
        <v>23</v>
      </c>
      <c r="Q490" s="304">
        <f t="shared" ca="1" si="222"/>
        <v>0</v>
      </c>
      <c r="R490" s="306">
        <f t="shared" ca="1" si="223"/>
        <v>0</v>
      </c>
      <c r="S490" s="307">
        <f t="shared" ca="1" si="224"/>
        <v>4.9929999999999914</v>
      </c>
      <c r="T490" s="304">
        <f t="shared" ca="1" si="204"/>
        <v>48.981329999999922</v>
      </c>
      <c r="U490" s="311">
        <f t="shared" ca="1" si="205"/>
        <v>0</v>
      </c>
      <c r="V490" s="306">
        <f t="shared" ca="1" si="206"/>
        <v>0.99982304426243762</v>
      </c>
      <c r="W490" s="304">
        <f t="shared" ca="1" si="207"/>
        <v>10.172310818185403</v>
      </c>
      <c r="Y490" s="314" t="str">
        <f t="shared" ca="1" si="225"/>
        <v/>
      </c>
      <c r="Z490" s="315" t="str">
        <f t="shared" ca="1" si="226"/>
        <v/>
      </c>
      <c r="AA490" s="316" t="str">
        <f t="shared" ca="1" si="227"/>
        <v/>
      </c>
      <c r="AC490" s="310" t="e">
        <f t="shared" ca="1" si="228"/>
        <v>#N/A</v>
      </c>
      <c r="AD490" s="323" t="e">
        <f t="shared" ca="1" si="229"/>
        <v>#N/A</v>
      </c>
      <c r="AE490" s="324">
        <f t="shared" ca="1" si="208"/>
        <v>2024.2235113328923</v>
      </c>
      <c r="AG490" s="306">
        <f t="shared" ca="1" si="230"/>
        <v>-10.994902602696833</v>
      </c>
      <c r="AH490" s="304">
        <f t="shared" ca="1" si="231"/>
        <v>-2.1190796177860554</v>
      </c>
    </row>
    <row r="491" spans="1:34" x14ac:dyDescent="0.2">
      <c r="A491" s="347">
        <f t="shared" ca="1" si="209"/>
        <v>0.1</v>
      </c>
      <c r="B491" s="304">
        <f t="shared" ca="1" si="210"/>
        <v>12.699999999999928</v>
      </c>
      <c r="D491" s="306">
        <f t="shared" ca="1" si="211"/>
        <v>-0.8814089867453142</v>
      </c>
      <c r="E491" s="307">
        <f t="shared" ca="1" si="212"/>
        <v>-11.64678201701382</v>
      </c>
      <c r="F491" s="304">
        <f t="shared" ca="1" si="213"/>
        <v>11.68008617920912</v>
      </c>
      <c r="G491" s="306">
        <f t="shared" ca="1" si="214"/>
        <v>24.138681119294457</v>
      </c>
      <c r="H491" s="307">
        <f t="shared" ca="1" si="215"/>
        <v>49.321976326655637</v>
      </c>
      <c r="I491" s="304">
        <f t="shared" ca="1" si="216"/>
        <v>54.912050361884702</v>
      </c>
      <c r="J491" s="306">
        <f t="shared" ca="1" si="217"/>
        <v>475.23900764708031</v>
      </c>
      <c r="K491" s="307">
        <f t="shared" ca="1" si="218"/>
        <v>2029.2139428756429</v>
      </c>
      <c r="L491" s="304">
        <f t="shared" ca="1" si="203"/>
        <v>2084.1212393597198</v>
      </c>
      <c r="M491" s="306">
        <f t="shared" ca="1" si="219"/>
        <v>1.1156563450772827</v>
      </c>
      <c r="N491" s="304">
        <f t="shared" ca="1" si="220"/>
        <v>63.922399959919275</v>
      </c>
      <c r="P491" s="310">
        <f t="shared" ca="1" si="221"/>
        <v>23</v>
      </c>
      <c r="Q491" s="304">
        <f t="shared" ca="1" si="222"/>
        <v>0</v>
      </c>
      <c r="R491" s="306">
        <f t="shared" ca="1" si="223"/>
        <v>0</v>
      </c>
      <c r="S491" s="307">
        <f t="shared" ca="1" si="224"/>
        <v>4.9929999999999914</v>
      </c>
      <c r="T491" s="304">
        <f t="shared" ca="1" si="204"/>
        <v>48.981329999999922</v>
      </c>
      <c r="U491" s="311">
        <f t="shared" ca="1" si="205"/>
        <v>0</v>
      </c>
      <c r="V491" s="306">
        <f t="shared" ca="1" si="206"/>
        <v>0.9993190395745758</v>
      </c>
      <c r="W491" s="304">
        <f t="shared" ca="1" si="207"/>
        <v>9.7764661553454424</v>
      </c>
      <c r="Y491" s="314" t="str">
        <f t="shared" ca="1" si="225"/>
        <v/>
      </c>
      <c r="Z491" s="315" t="str">
        <f t="shared" ca="1" si="226"/>
        <v/>
      </c>
      <c r="AA491" s="316" t="str">
        <f t="shared" ca="1" si="227"/>
        <v/>
      </c>
      <c r="AC491" s="310" t="e">
        <f t="shared" ca="1" si="228"/>
        <v>#N/A</v>
      </c>
      <c r="AD491" s="323" t="e">
        <f t="shared" ca="1" si="229"/>
        <v>#N/A</v>
      </c>
      <c r="AE491" s="324">
        <f t="shared" ca="1" si="208"/>
        <v>2029.2139428756429</v>
      </c>
      <c r="AG491" s="306">
        <f t="shared" ca="1" si="230"/>
        <v>-10.881718366821344</v>
      </c>
      <c r="AH491" s="304">
        <f t="shared" ca="1" si="231"/>
        <v>-2.0373144038024074</v>
      </c>
    </row>
    <row r="492" spans="1:34" x14ac:dyDescent="0.2">
      <c r="A492" s="347">
        <f t="shared" ca="1" si="209"/>
        <v>0.1</v>
      </c>
      <c r="B492" s="304">
        <f t="shared" ca="1" si="210"/>
        <v>12.799999999999928</v>
      </c>
      <c r="D492" s="306">
        <f t="shared" ca="1" si="211"/>
        <v>-0.86072855786465019</v>
      </c>
      <c r="E492" s="307">
        <f t="shared" ca="1" si="212"/>
        <v>-11.568705595590451</v>
      </c>
      <c r="F492" s="304">
        <f t="shared" ca="1" si="213"/>
        <v>11.600681135509655</v>
      </c>
      <c r="G492" s="306">
        <f t="shared" ca="1" si="214"/>
        <v>24.052608263507992</v>
      </c>
      <c r="H492" s="307">
        <f t="shared" ca="1" si="215"/>
        <v>48.165105767096591</v>
      </c>
      <c r="I492" s="304">
        <f t="shared" ca="1" si="216"/>
        <v>53.836840340359636</v>
      </c>
      <c r="J492" s="306">
        <f t="shared" ca="1" si="217"/>
        <v>477.64857211622046</v>
      </c>
      <c r="K492" s="307">
        <f t="shared" ca="1" si="218"/>
        <v>2034.0882969803306</v>
      </c>
      <c r="L492" s="304">
        <f t="shared" ca="1" si="203"/>
        <v>2089.4169900613438</v>
      </c>
      <c r="M492" s="306">
        <f t="shared" ca="1" si="219"/>
        <v>1.1076462076787805</v>
      </c>
      <c r="N492" s="304">
        <f t="shared" ca="1" si="220"/>
        <v>63.463452893665199</v>
      </c>
      <c r="P492" s="310">
        <f t="shared" ca="1" si="221"/>
        <v>23</v>
      </c>
      <c r="Q492" s="304">
        <f t="shared" ca="1" si="222"/>
        <v>0</v>
      </c>
      <c r="R492" s="306">
        <f t="shared" ca="1" si="223"/>
        <v>0</v>
      </c>
      <c r="S492" s="307">
        <f t="shared" ca="1" si="224"/>
        <v>4.9929999999999914</v>
      </c>
      <c r="T492" s="304">
        <f t="shared" ca="1" si="204"/>
        <v>48.981329999999922</v>
      </c>
      <c r="U492" s="311">
        <f t="shared" ca="1" si="205"/>
        <v>0</v>
      </c>
      <c r="V492" s="306">
        <f t="shared" ca="1" si="206"/>
        <v>0.99882697843301382</v>
      </c>
      <c r="W492" s="304">
        <f t="shared" ca="1" si="207"/>
        <v>9.3927293844220738</v>
      </c>
      <c r="Y492" s="314" t="str">
        <f t="shared" ca="1" si="225"/>
        <v/>
      </c>
      <c r="Z492" s="315" t="str">
        <f t="shared" ca="1" si="226"/>
        <v/>
      </c>
      <c r="AA492" s="316" t="str">
        <f t="shared" ca="1" si="227"/>
        <v/>
      </c>
      <c r="AC492" s="310" t="e">
        <f t="shared" ca="1" si="228"/>
        <v>#N/A</v>
      </c>
      <c r="AD492" s="323" t="e">
        <f t="shared" ca="1" si="229"/>
        <v>#N/A</v>
      </c>
      <c r="AE492" s="324">
        <f t="shared" ca="1" si="208"/>
        <v>2034.0882969803306</v>
      </c>
      <c r="AG492" s="306">
        <f t="shared" ca="1" si="230"/>
        <v>-10.769371600715235</v>
      </c>
      <c r="AH492" s="304">
        <f t="shared" ca="1" si="231"/>
        <v>-1.9580344793401681</v>
      </c>
    </row>
    <row r="493" spans="1:34" x14ac:dyDescent="0.2">
      <c r="A493" s="347">
        <f t="shared" ca="1" si="209"/>
        <v>0.1</v>
      </c>
      <c r="B493" s="304">
        <f t="shared" ca="1" si="210"/>
        <v>12.899999999999928</v>
      </c>
      <c r="D493" s="306">
        <f t="shared" ca="1" si="211"/>
        <v>-0.84045189092905725</v>
      </c>
      <c r="E493" s="307">
        <f t="shared" ca="1" si="212"/>
        <v>-11.492996445760532</v>
      </c>
      <c r="F493" s="304">
        <f t="shared" ca="1" si="213"/>
        <v>11.523685464434998</v>
      </c>
      <c r="G493" s="306">
        <f t="shared" ca="1" si="214"/>
        <v>23.968563074415087</v>
      </c>
      <c r="H493" s="307">
        <f t="shared" ca="1" si="215"/>
        <v>47.015806122520537</v>
      </c>
      <c r="I493" s="304">
        <f t="shared" ca="1" si="216"/>
        <v>52.772891158270404</v>
      </c>
      <c r="J493" s="306">
        <f t="shared" ca="1" si="217"/>
        <v>480.04963068311662</v>
      </c>
      <c r="K493" s="307">
        <f t="shared" ca="1" si="218"/>
        <v>2038.8473425748114</v>
      </c>
      <c r="L493" s="304">
        <f t="shared" ca="1" si="203"/>
        <v>2094.5992777243496</v>
      </c>
      <c r="M493" s="306">
        <f t="shared" ca="1" si="219"/>
        <v>1.0993410912137618</v>
      </c>
      <c r="N493" s="304">
        <f t="shared" ca="1" si="220"/>
        <v>62.987604771855018</v>
      </c>
      <c r="P493" s="310">
        <f t="shared" ca="1" si="221"/>
        <v>23</v>
      </c>
      <c r="Q493" s="304">
        <f t="shared" ca="1" si="222"/>
        <v>0</v>
      </c>
      <c r="R493" s="306">
        <f t="shared" ca="1" si="223"/>
        <v>0</v>
      </c>
      <c r="S493" s="307">
        <f t="shared" ca="1" si="224"/>
        <v>4.9929999999999914</v>
      </c>
      <c r="T493" s="304">
        <f t="shared" ca="1" si="204"/>
        <v>48.981329999999922</v>
      </c>
      <c r="U493" s="311">
        <f t="shared" ca="1" si="205"/>
        <v>0</v>
      </c>
      <c r="V493" s="306">
        <f t="shared" ca="1" si="206"/>
        <v>0.99834676756626151</v>
      </c>
      <c r="W493" s="304">
        <f t="shared" ca="1" si="207"/>
        <v>9.0208115512671441</v>
      </c>
      <c r="Y493" s="314" t="str">
        <f t="shared" ca="1" si="225"/>
        <v/>
      </c>
      <c r="Z493" s="315" t="str">
        <f t="shared" ca="1" si="226"/>
        <v/>
      </c>
      <c r="AA493" s="316" t="str">
        <f t="shared" ca="1" si="227"/>
        <v/>
      </c>
      <c r="AC493" s="310" t="e">
        <f t="shared" ca="1" si="228"/>
        <v>#N/A</v>
      </c>
      <c r="AD493" s="323" t="e">
        <f t="shared" ca="1" si="229"/>
        <v>#N/A</v>
      </c>
      <c r="AE493" s="324">
        <f t="shared" ca="1" si="208"/>
        <v>2038.8473425748114</v>
      </c>
      <c r="AG493" s="306">
        <f t="shared" ca="1" si="230"/>
        <v>-10.657691756431365</v>
      </c>
      <c r="AH493" s="304">
        <f t="shared" ca="1" si="231"/>
        <v>-1.8811795282239314</v>
      </c>
    </row>
    <row r="494" spans="1:34" x14ac:dyDescent="0.2">
      <c r="A494" s="347">
        <f t="shared" ca="1" si="209"/>
        <v>0.1</v>
      </c>
      <c r="B494" s="304">
        <f t="shared" ca="1" si="210"/>
        <v>12.999999999999927</v>
      </c>
      <c r="D494" s="306">
        <f t="shared" ca="1" si="211"/>
        <v>-0.82056909341495998</v>
      </c>
      <c r="E494" s="307">
        <f t="shared" ca="1" si="212"/>
        <v>-11.419596590598776</v>
      </c>
      <c r="F494" s="304">
        <f t="shared" ca="1" si="213"/>
        <v>11.449040131342148</v>
      </c>
      <c r="G494" s="306">
        <f t="shared" ca="1" si="214"/>
        <v>23.886506165073591</v>
      </c>
      <c r="H494" s="307">
        <f t="shared" ca="1" si="215"/>
        <v>45.873846463460659</v>
      </c>
      <c r="I494" s="304">
        <f t="shared" ca="1" si="216"/>
        <v>51.720160151794396</v>
      </c>
      <c r="J494" s="306">
        <f t="shared" ca="1" si="217"/>
        <v>482.44238414509107</v>
      </c>
      <c r="K494" s="307">
        <f t="shared" ca="1" si="218"/>
        <v>2043.4918252041105</v>
      </c>
      <c r="L494" s="304">
        <f t="shared" ca="1" si="203"/>
        <v>2099.6689009688234</v>
      </c>
      <c r="M494" s="306">
        <f t="shared" ca="1" si="219"/>
        <v>1.0907262826856896</v>
      </c>
      <c r="N494" s="304">
        <f t="shared" ca="1" si="220"/>
        <v>62.494012601883171</v>
      </c>
      <c r="P494" s="310">
        <f t="shared" ca="1" si="221"/>
        <v>23</v>
      </c>
      <c r="Q494" s="304">
        <f t="shared" ca="1" si="222"/>
        <v>0</v>
      </c>
      <c r="R494" s="306">
        <f t="shared" ca="1" si="223"/>
        <v>0</v>
      </c>
      <c r="S494" s="307">
        <f t="shared" ca="1" si="224"/>
        <v>4.9929999999999914</v>
      </c>
      <c r="T494" s="304">
        <f t="shared" ca="1" si="204"/>
        <v>48.981329999999922</v>
      </c>
      <c r="U494" s="311">
        <f t="shared" ca="1" si="205"/>
        <v>0</v>
      </c>
      <c r="V494" s="306">
        <f t="shared" ca="1" si="206"/>
        <v>0.99787831658205484</v>
      </c>
      <c r="W494" s="304">
        <f t="shared" ca="1" si="207"/>
        <v>8.6604354028083517</v>
      </c>
      <c r="Y494" s="314" t="str">
        <f t="shared" ca="1" si="225"/>
        <v/>
      </c>
      <c r="Z494" s="315" t="str">
        <f t="shared" ca="1" si="226"/>
        <v/>
      </c>
      <c r="AA494" s="316" t="str">
        <f t="shared" ca="1" si="227"/>
        <v/>
      </c>
      <c r="AC494" s="310">
        <f t="shared" ca="1" si="228"/>
        <v>12.999999999999927</v>
      </c>
      <c r="AD494" s="323">
        <f t="shared" ca="1" si="229"/>
        <v>482.44238414509107</v>
      </c>
      <c r="AE494" s="324">
        <f t="shared" ca="1" si="208"/>
        <v>2043.4918252041105</v>
      </c>
      <c r="AG494" s="306">
        <f t="shared" ca="1" si="230"/>
        <v>-10.546501985351183</v>
      </c>
      <c r="AH494" s="304">
        <f t="shared" ca="1" si="231"/>
        <v>-1.8066916786034768</v>
      </c>
    </row>
    <row r="495" spans="1:34" x14ac:dyDescent="0.2">
      <c r="A495" s="347">
        <f t="shared" ca="1" si="209"/>
        <v>0.1</v>
      </c>
      <c r="B495" s="304">
        <f t="shared" ca="1" si="210"/>
        <v>13.099999999999927</v>
      </c>
      <c r="D495" s="306">
        <f t="shared" ca="1" si="211"/>
        <v>-0.80107085369935904</v>
      </c>
      <c r="E495" s="307">
        <f t="shared" ca="1" si="212"/>
        <v>-11.348450248646673</v>
      </c>
      <c r="F495" s="304">
        <f t="shared" ca="1" si="213"/>
        <v>11.376688338820545</v>
      </c>
      <c r="G495" s="306">
        <f t="shared" ca="1" si="214"/>
        <v>23.806399079703656</v>
      </c>
      <c r="H495" s="307">
        <f t="shared" ca="1" si="215"/>
        <v>44.739001438595992</v>
      </c>
      <c r="I495" s="304">
        <f t="shared" ca="1" si="216"/>
        <v>50.678623569161871</v>
      </c>
      <c r="J495" s="306">
        <f t="shared" ca="1" si="217"/>
        <v>484.82702940732992</v>
      </c>
      <c r="K495" s="307">
        <f t="shared" ca="1" si="218"/>
        <v>2048.0224675992131</v>
      </c>
      <c r="L495" s="304">
        <f t="shared" ca="1" si="203"/>
        <v>2104.6266358276248</v>
      </c>
      <c r="M495" s="306">
        <f t="shared" ca="1" si="219"/>
        <v>1.081786174967174</v>
      </c>
      <c r="N495" s="304">
        <f t="shared" ca="1" si="220"/>
        <v>61.981782161219897</v>
      </c>
      <c r="P495" s="310">
        <f t="shared" ca="1" si="221"/>
        <v>23</v>
      </c>
      <c r="Q495" s="304">
        <f t="shared" ca="1" si="222"/>
        <v>0</v>
      </c>
      <c r="R495" s="306">
        <f t="shared" ca="1" si="223"/>
        <v>0</v>
      </c>
      <c r="S495" s="307">
        <f t="shared" ca="1" si="224"/>
        <v>4.9929999999999914</v>
      </c>
      <c r="T495" s="304">
        <f t="shared" ca="1" si="204"/>
        <v>48.981329999999922</v>
      </c>
      <c r="U495" s="311">
        <f t="shared" ca="1" si="205"/>
        <v>0</v>
      </c>
      <c r="V495" s="306">
        <f t="shared" ca="1" si="206"/>
        <v>0.99742153789566423</v>
      </c>
      <c r="W495" s="304">
        <f t="shared" ca="1" si="207"/>
        <v>8.311334909721424</v>
      </c>
      <c r="Y495" s="314" t="str">
        <f t="shared" ca="1" si="225"/>
        <v/>
      </c>
      <c r="Z495" s="315" t="str">
        <f t="shared" ca="1" si="226"/>
        <v/>
      </c>
      <c r="AA495" s="316" t="str">
        <f t="shared" ca="1" si="227"/>
        <v/>
      </c>
      <c r="AC495" s="310" t="e">
        <f t="shared" ca="1" si="228"/>
        <v>#N/A</v>
      </c>
      <c r="AD495" s="323" t="e">
        <f t="shared" ca="1" si="229"/>
        <v>#N/A</v>
      </c>
      <c r="AE495" s="324">
        <f t="shared" ca="1" si="208"/>
        <v>2048.0224675992131</v>
      </c>
      <c r="AG495" s="306">
        <f t="shared" ca="1" si="230"/>
        <v>-10.43561826966741</v>
      </c>
      <c r="AH495" s="304">
        <f t="shared" ca="1" si="231"/>
        <v>-1.7345154021246478</v>
      </c>
    </row>
    <row r="496" spans="1:34" x14ac:dyDescent="0.2">
      <c r="A496" s="347">
        <f t="shared" ca="1" si="209"/>
        <v>0.1</v>
      </c>
      <c r="B496" s="304">
        <f t="shared" ca="1" si="210"/>
        <v>13.199999999999926</v>
      </c>
      <c r="D496" s="306">
        <f t="shared" ca="1" si="211"/>
        <v>-0.78194843618288423</v>
      </c>
      <c r="E496" s="307">
        <f t="shared" ca="1" si="212"/>
        <v>-11.279503728563448</v>
      </c>
      <c r="F496" s="304">
        <f t="shared" ca="1" si="213"/>
        <v>11.306575419618691</v>
      </c>
      <c r="G496" s="306">
        <f t="shared" ca="1" si="214"/>
        <v>23.728204236085368</v>
      </c>
      <c r="H496" s="307">
        <f t="shared" ca="1" si="215"/>
        <v>43.611051065739645</v>
      </c>
      <c r="I496" s="304">
        <f t="shared" ca="1" si="216"/>
        <v>49.648277425585782</v>
      </c>
      <c r="J496" s="306">
        <f t="shared" ca="1" si="217"/>
        <v>487.20375957311938</v>
      </c>
      <c r="K496" s="307">
        <f t="shared" ca="1" si="218"/>
        <v>2052.43997022443</v>
      </c>
      <c r="L496" s="304">
        <f t="shared" ca="1" si="203"/>
        <v>2109.4732363120988</v>
      </c>
      <c r="M496" s="306">
        <f t="shared" ca="1" si="219"/>
        <v>1.0725042093105532</v>
      </c>
      <c r="N496" s="304">
        <f t="shared" ca="1" si="220"/>
        <v>61.449964703510155</v>
      </c>
      <c r="P496" s="310">
        <f t="shared" ca="1" si="221"/>
        <v>23</v>
      </c>
      <c r="Q496" s="304">
        <f t="shared" ca="1" si="222"/>
        <v>0</v>
      </c>
      <c r="R496" s="306">
        <f t="shared" ca="1" si="223"/>
        <v>0</v>
      </c>
      <c r="S496" s="307">
        <f t="shared" ca="1" si="224"/>
        <v>4.9929999999999914</v>
      </c>
      <c r="T496" s="304">
        <f t="shared" ca="1" si="204"/>
        <v>48.981329999999922</v>
      </c>
      <c r="U496" s="311">
        <f t="shared" ca="1" si="205"/>
        <v>0</v>
      </c>
      <c r="V496" s="306">
        <f t="shared" ca="1" si="206"/>
        <v>0.996976346660987</v>
      </c>
      <c r="W496" s="304">
        <f t="shared" ca="1" si="207"/>
        <v>7.9732548136990316</v>
      </c>
      <c r="Y496" s="314" t="str">
        <f t="shared" ca="1" si="225"/>
        <v/>
      </c>
      <c r="Z496" s="315" t="str">
        <f t="shared" ca="1" si="226"/>
        <v/>
      </c>
      <c r="AA496" s="316" t="str">
        <f t="shared" ca="1" si="227"/>
        <v/>
      </c>
      <c r="AC496" s="310" t="e">
        <f t="shared" ca="1" si="228"/>
        <v>#N/A</v>
      </c>
      <c r="AD496" s="323" t="e">
        <f t="shared" ca="1" si="229"/>
        <v>#N/A</v>
      </c>
      <c r="AE496" s="324">
        <f t="shared" ca="1" si="208"/>
        <v>2052.43997022443</v>
      </c>
      <c r="AG496" s="306">
        <f t="shared" ca="1" si="230"/>
        <v>-10.324848490730673</v>
      </c>
      <c r="AH496" s="304">
        <f t="shared" ca="1" si="231"/>
        <v>-1.6645974183299497</v>
      </c>
    </row>
    <row r="497" spans="1:34" x14ac:dyDescent="0.2">
      <c r="A497" s="347">
        <f t="shared" ca="1" si="209"/>
        <v>0.1</v>
      </c>
      <c r="B497" s="304">
        <f t="shared" ca="1" si="210"/>
        <v>13.299999999999926</v>
      </c>
      <c r="D497" s="306">
        <f t="shared" ca="1" si="211"/>
        <v>-0.76319367853248365</v>
      </c>
      <c r="E497" s="307">
        <f t="shared" ca="1" si="212"/>
        <v>-11.212705327228797</v>
      </c>
      <c r="F497" s="304">
        <f t="shared" ca="1" si="213"/>
        <v>11.238648733109198</v>
      </c>
      <c r="G497" s="306">
        <f t="shared" ca="1" si="214"/>
        <v>23.65188486823212</v>
      </c>
      <c r="H497" s="307">
        <f t="shared" ca="1" si="215"/>
        <v>42.489780533016763</v>
      </c>
      <c r="I497" s="304">
        <f t="shared" ca="1" si="216"/>
        <v>48.629138462078863</v>
      </c>
      <c r="J497" s="306">
        <f t="shared" ca="1" si="217"/>
        <v>489.57276402833526</v>
      </c>
      <c r="K497" s="307">
        <f t="shared" ca="1" si="218"/>
        <v>2056.745011804368</v>
      </c>
      <c r="L497" s="304">
        <f t="shared" ca="1" si="203"/>
        <v>2114.2094349568338</v>
      </c>
      <c r="M497" s="306">
        <f t="shared" ca="1" si="219"/>
        <v>1.0628628149488852</v>
      </c>
      <c r="N497" s="304">
        <f t="shared" ca="1" si="220"/>
        <v>60.897553497965347</v>
      </c>
      <c r="P497" s="310">
        <f t="shared" ca="1" si="221"/>
        <v>23</v>
      </c>
      <c r="Q497" s="304">
        <f t="shared" ca="1" si="222"/>
        <v>0</v>
      </c>
      <c r="R497" s="306">
        <f t="shared" ca="1" si="223"/>
        <v>0</v>
      </c>
      <c r="S497" s="307">
        <f t="shared" ca="1" si="224"/>
        <v>4.9929999999999914</v>
      </c>
      <c r="T497" s="304">
        <f t="shared" ca="1" si="204"/>
        <v>48.981329999999922</v>
      </c>
      <c r="U497" s="311">
        <f t="shared" ca="1" si="205"/>
        <v>0</v>
      </c>
      <c r="V497" s="306">
        <f t="shared" ca="1" si="206"/>
        <v>0.99654266070429243</v>
      </c>
      <c r="W497" s="304">
        <f t="shared" ca="1" si="207"/>
        <v>7.6459501978949325</v>
      </c>
      <c r="Y497" s="314" t="str">
        <f t="shared" ca="1" si="225"/>
        <v/>
      </c>
      <c r="Z497" s="315" t="str">
        <f t="shared" ca="1" si="226"/>
        <v/>
      </c>
      <c r="AA497" s="316" t="str">
        <f t="shared" ca="1" si="227"/>
        <v/>
      </c>
      <c r="AC497" s="310" t="e">
        <f t="shared" ca="1" si="228"/>
        <v>#N/A</v>
      </c>
      <c r="AD497" s="323" t="e">
        <f t="shared" ca="1" si="229"/>
        <v>#N/A</v>
      </c>
      <c r="AE497" s="324">
        <f t="shared" ca="1" si="208"/>
        <v>2056.745011804368</v>
      </c>
      <c r="AG497" s="306">
        <f t="shared" ca="1" si="230"/>
        <v>-10.213991428944142</v>
      </c>
      <c r="AH497" s="304">
        <f t="shared" ca="1" si="231"/>
        <v>-1.5968866039853886</v>
      </c>
    </row>
    <row r="498" spans="1:34" x14ac:dyDescent="0.2">
      <c r="A498" s="347">
        <f t="shared" ca="1" si="209"/>
        <v>0.1</v>
      </c>
      <c r="B498" s="304">
        <f t="shared" ca="1" si="210"/>
        <v>13.399999999999926</v>
      </c>
      <c r="D498" s="306">
        <f t="shared" ca="1" si="211"/>
        <v>-0.74479899109426484</v>
      </c>
      <c r="E498" s="307">
        <f t="shared" ca="1" si="212"/>
        <v>-11.148005230835247</v>
      </c>
      <c r="F498" s="304">
        <f t="shared" ca="1" si="213"/>
        <v>11.172857564824904</v>
      </c>
      <c r="G498" s="306">
        <f t="shared" ca="1" si="214"/>
        <v>23.577404969122693</v>
      </c>
      <c r="H498" s="307">
        <f t="shared" ca="1" si="215"/>
        <v>41.374980009933239</v>
      </c>
      <c r="I498" s="304">
        <f t="shared" ca="1" si="216"/>
        <v>47.621245215768838</v>
      </c>
      <c r="J498" s="306">
        <f t="shared" ca="1" si="217"/>
        <v>491.93422852020302</v>
      </c>
      <c r="K498" s="307">
        <f t="shared" ca="1" si="218"/>
        <v>2060.9382498315153</v>
      </c>
      <c r="L498" s="304">
        <f t="shared" ca="1" si="203"/>
        <v>2118.835943344448</v>
      </c>
      <c r="M498" s="306">
        <f t="shared" ca="1" si="219"/>
        <v>1.0528433459146886</v>
      </c>
      <c r="N498" s="304">
        <f t="shared" ca="1" si="220"/>
        <v>60.323480209343863</v>
      </c>
      <c r="P498" s="310">
        <f t="shared" ca="1" si="221"/>
        <v>23</v>
      </c>
      <c r="Q498" s="304">
        <f t="shared" ca="1" si="222"/>
        <v>0</v>
      </c>
      <c r="R498" s="306">
        <f t="shared" ca="1" si="223"/>
        <v>0</v>
      </c>
      <c r="S498" s="307">
        <f t="shared" ca="1" si="224"/>
        <v>4.9929999999999914</v>
      </c>
      <c r="T498" s="304">
        <f t="shared" ca="1" si="204"/>
        <v>48.981329999999922</v>
      </c>
      <c r="U498" s="311">
        <f t="shared" ca="1" si="205"/>
        <v>0</v>
      </c>
      <c r="V498" s="306">
        <f t="shared" ca="1" si="206"/>
        <v>0.99612040046049366</v>
      </c>
      <c r="W498" s="304">
        <f t="shared" ca="1" si="207"/>
        <v>7.3291860792084087</v>
      </c>
      <c r="Y498" s="314" t="str">
        <f t="shared" ca="1" si="225"/>
        <v/>
      </c>
      <c r="Z498" s="315" t="str">
        <f t="shared" ca="1" si="226"/>
        <v/>
      </c>
      <c r="AA498" s="316" t="str">
        <f t="shared" ca="1" si="227"/>
        <v/>
      </c>
      <c r="AC498" s="310" t="e">
        <f t="shared" ca="1" si="228"/>
        <v>#N/A</v>
      </c>
      <c r="AD498" s="323" t="e">
        <f t="shared" ca="1" si="229"/>
        <v>#N/A</v>
      </c>
      <c r="AE498" s="324">
        <f t="shared" ca="1" si="208"/>
        <v>2060.9382498315153</v>
      </c>
      <c r="AG498" s="306">
        <f t="shared" ca="1" si="230"/>
        <v>-10.102835689954915</v>
      </c>
      <c r="AH498" s="304">
        <f t="shared" ca="1" si="231"/>
        <v>-1.5313339070488574</v>
      </c>
    </row>
    <row r="499" spans="1:34" x14ac:dyDescent="0.2">
      <c r="A499" s="347">
        <f t="shared" ca="1" si="209"/>
        <v>0.1</v>
      </c>
      <c r="B499" s="304">
        <f t="shared" ca="1" si="210"/>
        <v>13.499999999999925</v>
      </c>
      <c r="D499" s="306">
        <f t="shared" ca="1" si="211"/>
        <v>-0.72675735853683898</v>
      </c>
      <c r="E499" s="307">
        <f t="shared" ca="1" si="212"/>
        <v>-11.085355418499752</v>
      </c>
      <c r="F499" s="304">
        <f t="shared" ca="1" si="213"/>
        <v>11.10915302859085</v>
      </c>
      <c r="G499" s="306">
        <f t="shared" ca="1" si="214"/>
        <v>23.504729233269011</v>
      </c>
      <c r="H499" s="307">
        <f t="shared" ca="1" si="215"/>
        <v>40.266444468083264</v>
      </c>
      <c r="I499" s="304">
        <f t="shared" ca="1" si="216"/>
        <v>46.624659209805749</v>
      </c>
      <c r="J499" s="306">
        <f t="shared" ca="1" si="217"/>
        <v>494.28833523032262</v>
      </c>
      <c r="K499" s="307">
        <f t="shared" ca="1" si="218"/>
        <v>2065.0203210554164</v>
      </c>
      <c r="L499" s="304">
        <f t="shared" ca="1" si="203"/>
        <v>2123.353452611359</v>
      </c>
      <c r="M499" s="306">
        <f t="shared" ca="1" si="219"/>
        <v>1.0424260152968996</v>
      </c>
      <c r="N499" s="304">
        <f t="shared" ca="1" si="220"/>
        <v>59.72661113115214</v>
      </c>
      <c r="P499" s="310">
        <f t="shared" ca="1" si="221"/>
        <v>23</v>
      </c>
      <c r="Q499" s="304">
        <f t="shared" ca="1" si="222"/>
        <v>0</v>
      </c>
      <c r="R499" s="306">
        <f t="shared" ca="1" si="223"/>
        <v>0</v>
      </c>
      <c r="S499" s="307">
        <f t="shared" ca="1" si="224"/>
        <v>4.9929999999999914</v>
      </c>
      <c r="T499" s="304">
        <f t="shared" ca="1" si="204"/>
        <v>48.981329999999922</v>
      </c>
      <c r="U499" s="311">
        <f t="shared" ca="1" si="205"/>
        <v>0</v>
      </c>
      <c r="V499" s="306">
        <f t="shared" ca="1" si="206"/>
        <v>0.99570948891182465</v>
      </c>
      <c r="W499" s="304">
        <f t="shared" ca="1" si="207"/>
        <v>7.0227370211535787</v>
      </c>
      <c r="Y499" s="314" t="str">
        <f t="shared" ca="1" si="225"/>
        <v/>
      </c>
      <c r="Z499" s="315" t="str">
        <f t="shared" ca="1" si="226"/>
        <v/>
      </c>
      <c r="AA499" s="316" t="str">
        <f t="shared" ca="1" si="227"/>
        <v/>
      </c>
      <c r="AC499" s="310" t="e">
        <f t="shared" ca="1" si="228"/>
        <v>#N/A</v>
      </c>
      <c r="AD499" s="323" t="e">
        <f t="shared" ca="1" si="229"/>
        <v>#N/A</v>
      </c>
      <c r="AE499" s="324">
        <f t="shared" ca="1" si="208"/>
        <v>2065.0203210554164</v>
      </c>
      <c r="AG499" s="306">
        <f t="shared" ca="1" si="230"/>
        <v>-9.9911585521160706</v>
      </c>
      <c r="AH499" s="304">
        <f t="shared" ca="1" si="231"/>
        <v>-1.467892265012702</v>
      </c>
    </row>
    <row r="500" spans="1:34" x14ac:dyDescent="0.2">
      <c r="A500" s="347">
        <f t="shared" ca="1" si="209"/>
        <v>0.1</v>
      </c>
      <c r="B500" s="304">
        <f t="shared" ca="1" si="210"/>
        <v>13.599999999999925</v>
      </c>
      <c r="D500" s="306">
        <f t="shared" ca="1" si="211"/>
        <v>-0.70906234379454891</v>
      </c>
      <c r="E500" s="307">
        <f t="shared" ca="1" si="212"/>
        <v>-11.024709567911124</v>
      </c>
      <c r="F500" s="304">
        <f t="shared" ca="1" si="213"/>
        <v>11.047487970764147</v>
      </c>
      <c r="G500" s="306">
        <f t="shared" ca="1" si="214"/>
        <v>23.433822998889557</v>
      </c>
      <c r="H500" s="307">
        <f t="shared" ca="1" si="215"/>
        <v>39.163973511292156</v>
      </c>
      <c r="I500" s="304">
        <f t="shared" ca="1" si="216"/>
        <v>45.639466271380506</v>
      </c>
      <c r="J500" s="306">
        <f t="shared" ca="1" si="217"/>
        <v>496.63526284193057</v>
      </c>
      <c r="K500" s="307">
        <f t="shared" ca="1" si="218"/>
        <v>2068.9918419543851</v>
      </c>
      <c r="L500" s="304">
        <f t="shared" ca="1" si="203"/>
        <v>2127.7626339354379</v>
      </c>
      <c r="M500" s="306">
        <f t="shared" ca="1" si="219"/>
        <v>1.0315898272753514</v>
      </c>
      <c r="N500" s="304">
        <f t="shared" ca="1" si="220"/>
        <v>59.10574329150721</v>
      </c>
      <c r="P500" s="310">
        <f t="shared" ca="1" si="221"/>
        <v>23</v>
      </c>
      <c r="Q500" s="304">
        <f t="shared" ca="1" si="222"/>
        <v>0</v>
      </c>
      <c r="R500" s="306">
        <f t="shared" ca="1" si="223"/>
        <v>0</v>
      </c>
      <c r="S500" s="307">
        <f t="shared" ca="1" si="224"/>
        <v>4.9929999999999914</v>
      </c>
      <c r="T500" s="304">
        <f t="shared" ca="1" si="204"/>
        <v>48.981329999999922</v>
      </c>
      <c r="U500" s="311">
        <f t="shared" ca="1" si="205"/>
        <v>0</v>
      </c>
      <c r="V500" s="306">
        <f t="shared" ca="1" si="206"/>
        <v>0.99530985152879814</v>
      </c>
      <c r="W500" s="304">
        <f t="shared" ca="1" si="207"/>
        <v>6.7263867661314354</v>
      </c>
      <c r="Y500" s="314" t="str">
        <f t="shared" ca="1" si="225"/>
        <v/>
      </c>
      <c r="Z500" s="315" t="str">
        <f t="shared" ca="1" si="226"/>
        <v/>
      </c>
      <c r="AA500" s="316" t="str">
        <f t="shared" ca="1" si="227"/>
        <v/>
      </c>
      <c r="AC500" s="310" t="e">
        <f t="shared" ca="1" si="228"/>
        <v>#N/A</v>
      </c>
      <c r="AD500" s="323" t="e">
        <f t="shared" ca="1" si="229"/>
        <v>#N/A</v>
      </c>
      <c r="AE500" s="324">
        <f t="shared" ca="1" si="208"/>
        <v>2068.9918419543851</v>
      </c>
      <c r="AG500" s="306">
        <f t="shared" ca="1" si="230"/>
        <v>-9.8787247306371579</v>
      </c>
      <c r="AH500" s="304">
        <f t="shared" ca="1" si="231"/>
        <v>-1.4065165273690348</v>
      </c>
    </row>
    <row r="501" spans="1:34" x14ac:dyDescent="0.2">
      <c r="A501" s="347">
        <f t="shared" ca="1" si="209"/>
        <v>0.1</v>
      </c>
      <c r="B501" s="304">
        <f t="shared" ca="1" si="210"/>
        <v>13.699999999999925</v>
      </c>
      <c r="D501" s="306">
        <f t="shared" ca="1" si="211"/>
        <v>-0.69170809438796332</v>
      </c>
      <c r="E501" s="307">
        <f t="shared" ca="1" si="212"/>
        <v>-10.966022962511934</v>
      </c>
      <c r="F501" s="304">
        <f t="shared" ca="1" si="213"/>
        <v>10.987816876076014</v>
      </c>
      <c r="G501" s="306">
        <f t="shared" ca="1" si="214"/>
        <v>23.364652189450762</v>
      </c>
      <c r="H501" s="307">
        <f t="shared" ca="1" si="215"/>
        <v>38.067371215040964</v>
      </c>
      <c r="I501" s="304">
        <f t="shared" ca="1" si="216"/>
        <v>44.665777986706281</v>
      </c>
      <c r="J501" s="306">
        <f t="shared" ca="1" si="217"/>
        <v>498.97518660134756</v>
      </c>
      <c r="K501" s="307">
        <f t="shared" ca="1" si="218"/>
        <v>2072.8534091907018</v>
      </c>
      <c r="L501" s="304">
        <f t="shared" ca="1" si="203"/>
        <v>2132.0641390064616</v>
      </c>
      <c r="M501" s="306">
        <f t="shared" ca="1" si="219"/>
        <v>1.0203125074224206</v>
      </c>
      <c r="N501" s="304">
        <f t="shared" ca="1" si="220"/>
        <v>58.459600459715183</v>
      </c>
      <c r="P501" s="310">
        <f t="shared" ca="1" si="221"/>
        <v>23</v>
      </c>
      <c r="Q501" s="304">
        <f t="shared" ca="1" si="222"/>
        <v>0</v>
      </c>
      <c r="R501" s="306">
        <f t="shared" ca="1" si="223"/>
        <v>0</v>
      </c>
      <c r="S501" s="307">
        <f t="shared" ca="1" si="224"/>
        <v>4.9929999999999914</v>
      </c>
      <c r="T501" s="304">
        <f t="shared" ca="1" si="204"/>
        <v>48.981329999999922</v>
      </c>
      <c r="U501" s="311">
        <f t="shared" ca="1" si="205"/>
        <v>0</v>
      </c>
      <c r="V501" s="306">
        <f t="shared" ca="1" si="206"/>
        <v>0.99492141621333685</v>
      </c>
      <c r="W501" s="304">
        <f t="shared" ca="1" si="207"/>
        <v>6.4399278859895244</v>
      </c>
      <c r="Y501" s="314" t="str">
        <f t="shared" ca="1" si="225"/>
        <v/>
      </c>
      <c r="Z501" s="315" t="str">
        <f t="shared" ca="1" si="226"/>
        <v/>
      </c>
      <c r="AA501" s="316" t="str">
        <f t="shared" ca="1" si="227"/>
        <v/>
      </c>
      <c r="AC501" s="310" t="e">
        <f t="shared" ca="1" si="228"/>
        <v>#N/A</v>
      </c>
      <c r="AD501" s="323" t="e">
        <f t="shared" ca="1" si="229"/>
        <v>#N/A</v>
      </c>
      <c r="AE501" s="324">
        <f t="shared" ca="1" si="208"/>
        <v>2072.8534091907018</v>
      </c>
      <c r="AG501" s="306">
        <f t="shared" ca="1" si="230"/>
        <v>-9.7652850545779319</v>
      </c>
      <c r="AH501" s="304">
        <f t="shared" ca="1" si="231"/>
        <v>-1.3471633819610349</v>
      </c>
    </row>
    <row r="502" spans="1:34" x14ac:dyDescent="0.2">
      <c r="A502" s="347">
        <f t="shared" ca="1" si="209"/>
        <v>0.1</v>
      </c>
      <c r="B502" s="304">
        <f t="shared" ca="1" si="210"/>
        <v>13.799999999999924</v>
      </c>
      <c r="D502" s="306">
        <f t="shared" ca="1" si="211"/>
        <v>-0.67468935120544671</v>
      </c>
      <c r="E502" s="307">
        <f t="shared" ca="1" si="212"/>
        <v>-10.909252399689869</v>
      </c>
      <c r="F502" s="304">
        <f t="shared" ca="1" si="213"/>
        <v>10.930095774546956</v>
      </c>
      <c r="G502" s="306">
        <f t="shared" ca="1" si="214"/>
        <v>23.297183254330218</v>
      </c>
      <c r="H502" s="307">
        <f t="shared" ca="1" si="215"/>
        <v>36.976445975071975</v>
      </c>
      <c r="I502" s="304">
        <f t="shared" ca="1" si="216"/>
        <v>43.703733302010491</v>
      </c>
      <c r="J502" s="306">
        <f t="shared" ca="1" si="217"/>
        <v>501.30827837353661</v>
      </c>
      <c r="K502" s="307">
        <f t="shared" ca="1" si="218"/>
        <v>2076.6056000502076</v>
      </c>
      <c r="L502" s="304">
        <f t="shared" ca="1" si="203"/>
        <v>2136.2586004802233</v>
      </c>
      <c r="M502" s="306">
        <f t="shared" ca="1" si="219"/>
        <v>1.0085704319501614</v>
      </c>
      <c r="N502" s="304">
        <f t="shared" ca="1" si="220"/>
        <v>57.786829092430644</v>
      </c>
      <c r="P502" s="310">
        <f t="shared" ca="1" si="221"/>
        <v>23</v>
      </c>
      <c r="Q502" s="304">
        <f t="shared" ca="1" si="222"/>
        <v>0</v>
      </c>
      <c r="R502" s="306">
        <f t="shared" ca="1" si="223"/>
        <v>0</v>
      </c>
      <c r="S502" s="307">
        <f t="shared" ca="1" si="224"/>
        <v>4.9929999999999914</v>
      </c>
      <c r="T502" s="304">
        <f t="shared" ca="1" si="204"/>
        <v>48.981329999999922</v>
      </c>
      <c r="U502" s="311">
        <f t="shared" ca="1" si="205"/>
        <v>0</v>
      </c>
      <c r="V502" s="306">
        <f t="shared" ca="1" si="206"/>
        <v>0.99454411324395664</v>
      </c>
      <c r="W502" s="304">
        <f t="shared" ca="1" si="207"/>
        <v>6.1631614498156146</v>
      </c>
      <c r="Y502" s="314" t="str">
        <f t="shared" ca="1" si="225"/>
        <v/>
      </c>
      <c r="Z502" s="315" t="str">
        <f t="shared" ca="1" si="226"/>
        <v/>
      </c>
      <c r="AA502" s="316" t="str">
        <f t="shared" ca="1" si="227"/>
        <v/>
      </c>
      <c r="AC502" s="310" t="e">
        <f t="shared" ca="1" si="228"/>
        <v>#N/A</v>
      </c>
      <c r="AD502" s="323" t="e">
        <f t="shared" ca="1" si="229"/>
        <v>#N/A</v>
      </c>
      <c r="AE502" s="324">
        <f t="shared" ca="1" si="208"/>
        <v>2076.6056000502076</v>
      </c>
      <c r="AG502" s="306">
        <f t="shared" ca="1" si="230"/>
        <v>-9.6505750539642285</v>
      </c>
      <c r="AH502" s="304">
        <f t="shared" ca="1" si="231"/>
        <v>-1.2897912849969027</v>
      </c>
    </row>
    <row r="503" spans="1:34" x14ac:dyDescent="0.2">
      <c r="A503" s="347">
        <f t="shared" ca="1" si="209"/>
        <v>0.1</v>
      </c>
      <c r="B503" s="304">
        <f t="shared" ca="1" si="210"/>
        <v>13.899999999999924</v>
      </c>
      <c r="D503" s="306">
        <f t="shared" ca="1" si="211"/>
        <v>-0.65800145983388558</v>
      </c>
      <c r="E503" s="307">
        <f t="shared" ca="1" si="212"/>
        <v>-10.854356099424333</v>
      </c>
      <c r="F503" s="304">
        <f t="shared" ca="1" si="213"/>
        <v>10.874282148916945</v>
      </c>
      <c r="G503" s="306">
        <f t="shared" ca="1" si="214"/>
        <v>23.231383108346829</v>
      </c>
      <c r="H503" s="307">
        <f t="shared" ca="1" si="215"/>
        <v>35.891010365129539</v>
      </c>
      <c r="I503" s="304">
        <f t="shared" ca="1" si="216"/>
        <v>42.753500279586682</v>
      </c>
      <c r="J503" s="306">
        <f t="shared" ca="1" si="217"/>
        <v>503.63470669167049</v>
      </c>
      <c r="K503" s="307">
        <f t="shared" ca="1" si="218"/>
        <v>2080.2489728672176</v>
      </c>
      <c r="L503" s="304">
        <f t="shared" ca="1" si="203"/>
        <v>2140.3466324171695</v>
      </c>
      <c r="M503" s="306">
        <f t="shared" ca="1" si="219"/>
        <v>0.99633855681627925</v>
      </c>
      <c r="N503" s="304">
        <f t="shared" ca="1" si="220"/>
        <v>57.085994271728183</v>
      </c>
      <c r="P503" s="310">
        <f t="shared" ca="1" si="221"/>
        <v>23</v>
      </c>
      <c r="Q503" s="304">
        <f t="shared" ca="1" si="222"/>
        <v>0</v>
      </c>
      <c r="R503" s="306">
        <f t="shared" ca="1" si="223"/>
        <v>0</v>
      </c>
      <c r="S503" s="307">
        <f t="shared" ca="1" si="224"/>
        <v>4.9929999999999914</v>
      </c>
      <c r="T503" s="304">
        <f t="shared" ca="1" si="204"/>
        <v>48.981329999999922</v>
      </c>
      <c r="U503" s="311">
        <f t="shared" ca="1" si="205"/>
        <v>0</v>
      </c>
      <c r="V503" s="306">
        <f t="shared" ca="1" si="206"/>
        <v>0.99417787522289569</v>
      </c>
      <c r="W503" s="304">
        <f t="shared" ca="1" si="207"/>
        <v>5.8958967079675348</v>
      </c>
      <c r="Y503" s="314" t="str">
        <f t="shared" ca="1" si="225"/>
        <v/>
      </c>
      <c r="Z503" s="315" t="str">
        <f t="shared" ca="1" si="226"/>
        <v/>
      </c>
      <c r="AA503" s="316" t="str">
        <f t="shared" ca="1" si="227"/>
        <v/>
      </c>
      <c r="AC503" s="310" t="e">
        <f t="shared" ca="1" si="228"/>
        <v>#N/A</v>
      </c>
      <c r="AD503" s="323" t="e">
        <f t="shared" ca="1" si="229"/>
        <v>#N/A</v>
      </c>
      <c r="AE503" s="324">
        <f t="shared" ca="1" si="208"/>
        <v>2080.2489728672176</v>
      </c>
      <c r="AG503" s="306">
        <f t="shared" ca="1" si="230"/>
        <v>-9.5343134559343241</v>
      </c>
      <c r="AH503" s="304">
        <f t="shared" ca="1" si="231"/>
        <v>-1.2343603945154467</v>
      </c>
    </row>
    <row r="504" spans="1:34" x14ac:dyDescent="0.2">
      <c r="A504" s="347">
        <f t="shared" ca="1" si="209"/>
        <v>0.1</v>
      </c>
      <c r="B504" s="304">
        <f t="shared" ca="1" si="210"/>
        <v>13.999999999999924</v>
      </c>
      <c r="D504" s="306">
        <f t="shared" ca="1" si="211"/>
        <v>-0.64164038452795458</v>
      </c>
      <c r="E504" s="307">
        <f t="shared" ca="1" si="212"/>
        <v>-10.801293612798473</v>
      </c>
      <c r="F504" s="304">
        <f t="shared" ca="1" si="213"/>
        <v>10.820334841997186</v>
      </c>
      <c r="G504" s="306">
        <f t="shared" ca="1" si="214"/>
        <v>23.167219069894035</v>
      </c>
      <c r="H504" s="307">
        <f t="shared" ca="1" si="215"/>
        <v>34.810881003849694</v>
      </c>
      <c r="I504" s="304">
        <f t="shared" ca="1" si="216"/>
        <v>41.815278017689245</v>
      </c>
      <c r="J504" s="306">
        <f t="shared" ca="1" si="217"/>
        <v>505.95463680058253</v>
      </c>
      <c r="K504" s="307">
        <f t="shared" ca="1" si="218"/>
        <v>2083.7840674356667</v>
      </c>
      <c r="L504" s="304">
        <f t="shared" ca="1" si="203"/>
        <v>2144.3288307064149</v>
      </c>
      <c r="M504" s="306">
        <f t="shared" ca="1" si="219"/>
        <v>0.9835903478930641</v>
      </c>
      <c r="N504" s="304">
        <f t="shared" ca="1" si="220"/>
        <v>56.355575704076934</v>
      </c>
      <c r="P504" s="310">
        <f t="shared" ca="1" si="221"/>
        <v>23</v>
      </c>
      <c r="Q504" s="304">
        <f t="shared" ca="1" si="222"/>
        <v>0</v>
      </c>
      <c r="R504" s="306">
        <f t="shared" ca="1" si="223"/>
        <v>0</v>
      </c>
      <c r="S504" s="307">
        <f t="shared" ca="1" si="224"/>
        <v>4.9929999999999914</v>
      </c>
      <c r="T504" s="304">
        <f t="shared" ca="1" si="204"/>
        <v>48.981329999999922</v>
      </c>
      <c r="U504" s="311">
        <f t="shared" ca="1" si="205"/>
        <v>0</v>
      </c>
      <c r="V504" s="306">
        <f t="shared" ca="1" si="206"/>
        <v>0.99382263702507767</v>
      </c>
      <c r="W504" s="304">
        <f t="shared" ca="1" si="207"/>
        <v>5.6379507913921429</v>
      </c>
      <c r="Y504" s="314" t="str">
        <f t="shared" ca="1" si="225"/>
        <v/>
      </c>
      <c r="Z504" s="315" t="str">
        <f t="shared" ca="1" si="226"/>
        <v/>
      </c>
      <c r="AA504" s="316" t="str">
        <f t="shared" ca="1" si="227"/>
        <v/>
      </c>
      <c r="AC504" s="310">
        <f t="shared" ca="1" si="228"/>
        <v>13.999999999999924</v>
      </c>
      <c r="AD504" s="323">
        <f t="shared" ca="1" si="229"/>
        <v>505.95463680058253</v>
      </c>
      <c r="AE504" s="324">
        <f t="shared" ca="1" si="208"/>
        <v>2083.7840674356667</v>
      </c>
      <c r="AG504" s="306">
        <f t="shared" ca="1" si="230"/>
        <v>-9.4162005911064384</v>
      </c>
      <c r="AH504" s="304">
        <f t="shared" ca="1" si="231"/>
        <v>-1.1808325071034538</v>
      </c>
    </row>
    <row r="505" spans="1:34" x14ac:dyDescent="0.2">
      <c r="A505" s="347">
        <f t="shared" ca="1" si="209"/>
        <v>0.1</v>
      </c>
      <c r="B505" s="304">
        <f t="shared" ca="1" si="210"/>
        <v>14.099999999999923</v>
      </c>
      <c r="D505" s="306">
        <f t="shared" ca="1" si="211"/>
        <v>-0.62560272490464286</v>
      </c>
      <c r="E505" s="307">
        <f t="shared" ca="1" si="212"/>
        <v>-10.75002572974501</v>
      </c>
      <c r="F505" s="304">
        <f t="shared" ca="1" si="213"/>
        <v>10.7682139633083</v>
      </c>
      <c r="G505" s="306">
        <f t="shared" ca="1" si="214"/>
        <v>23.10465879740357</v>
      </c>
      <c r="H505" s="307">
        <f t="shared" ca="1" si="215"/>
        <v>33.735878430875196</v>
      </c>
      <c r="I505" s="304">
        <f t="shared" ca="1" si="216"/>
        <v>40.889298742424387</v>
      </c>
      <c r="J505" s="306">
        <f t="shared" ca="1" si="217"/>
        <v>508.26823069394743</v>
      </c>
      <c r="K505" s="307">
        <f t="shared" ca="1" si="218"/>
        <v>2087.2114054074027</v>
      </c>
      <c r="L505" s="304">
        <f t="shared" ca="1" si="203"/>
        <v>2148.2057734759724</v>
      </c>
      <c r="M505" s="306">
        <f t="shared" ca="1" si="219"/>
        <v>0.97029771376064011</v>
      </c>
      <c r="N505" s="304">
        <f t="shared" ca="1" si="220"/>
        <v>55.593963869677502</v>
      </c>
      <c r="P505" s="310">
        <f t="shared" ca="1" si="221"/>
        <v>23</v>
      </c>
      <c r="Q505" s="304">
        <f t="shared" ca="1" si="222"/>
        <v>0</v>
      </c>
      <c r="R505" s="306">
        <f t="shared" ca="1" si="223"/>
        <v>0</v>
      </c>
      <c r="S505" s="307">
        <f t="shared" ca="1" si="224"/>
        <v>4.9929999999999914</v>
      </c>
      <c r="T505" s="304">
        <f t="shared" ca="1" si="204"/>
        <v>48.981329999999922</v>
      </c>
      <c r="U505" s="311">
        <f t="shared" ca="1" si="205"/>
        <v>0</v>
      </c>
      <c r="V505" s="306">
        <f t="shared" ca="1" si="206"/>
        <v>0.99347833574879407</v>
      </c>
      <c r="W505" s="304">
        <f t="shared" ca="1" si="207"/>
        <v>5.3891484253319195</v>
      </c>
      <c r="Y505" s="314" t="str">
        <f t="shared" ca="1" si="225"/>
        <v/>
      </c>
      <c r="Z505" s="315" t="str">
        <f t="shared" ca="1" si="226"/>
        <v/>
      </c>
      <c r="AA505" s="316" t="str">
        <f t="shared" ca="1" si="227"/>
        <v/>
      </c>
      <c r="AC505" s="310" t="e">
        <f t="shared" ca="1" si="228"/>
        <v>#N/A</v>
      </c>
      <c r="AD505" s="323" t="e">
        <f t="shared" ca="1" si="229"/>
        <v>#N/A</v>
      </c>
      <c r="AE505" s="324">
        <f t="shared" ca="1" si="208"/>
        <v>2087.2114054074027</v>
      </c>
      <c r="AG505" s="306">
        <f t="shared" ca="1" si="230"/>
        <v>-9.2959167144751937</v>
      </c>
      <c r="AH505" s="304">
        <f t="shared" ca="1" si="231"/>
        <v>-1.1291709976751758</v>
      </c>
    </row>
    <row r="506" spans="1:34" x14ac:dyDescent="0.2">
      <c r="A506" s="347">
        <f t="shared" ca="1" si="209"/>
        <v>0.1</v>
      </c>
      <c r="B506" s="304">
        <f t="shared" ca="1" si="210"/>
        <v>14.199999999999923</v>
      </c>
      <c r="D506" s="306">
        <f t="shared" ca="1" si="211"/>
        <v>-0.60988573544175428</v>
      </c>
      <c r="E506" s="307">
        <f t="shared" ca="1" si="212"/>
        <v>-10.700514385345526</v>
      </c>
      <c r="F506" s="304">
        <f t="shared" ca="1" si="213"/>
        <v>10.717880794321323</v>
      </c>
      <c r="G506" s="306">
        <f t="shared" ca="1" si="214"/>
        <v>23.043670223859394</v>
      </c>
      <c r="H506" s="307">
        <f t="shared" ca="1" si="215"/>
        <v>32.665826992340641</v>
      </c>
      <c r="I506" s="304">
        <f t="shared" ca="1" si="216"/>
        <v>39.975830078680225</v>
      </c>
      <c r="J506" s="306">
        <f t="shared" ca="1" si="217"/>
        <v>510.57564714501058</v>
      </c>
      <c r="K506" s="307">
        <f t="shared" ca="1" si="218"/>
        <v>2090.5314906785634</v>
      </c>
      <c r="L506" s="304">
        <f t="shared" ca="1" si="203"/>
        <v>2151.978021490062</v>
      </c>
      <c r="M506" s="306">
        <f t="shared" ca="1" si="219"/>
        <v>0.95643094312173016</v>
      </c>
      <c r="N506" s="304">
        <f t="shared" ca="1" si="220"/>
        <v>54.799456436592031</v>
      </c>
      <c r="P506" s="310">
        <f t="shared" ca="1" si="221"/>
        <v>23</v>
      </c>
      <c r="Q506" s="304">
        <f t="shared" ca="1" si="222"/>
        <v>0</v>
      </c>
      <c r="R506" s="306">
        <f t="shared" ca="1" si="223"/>
        <v>0</v>
      </c>
      <c r="S506" s="307">
        <f t="shared" ca="1" si="224"/>
        <v>4.9929999999999914</v>
      </c>
      <c r="T506" s="304">
        <f t="shared" ca="1" si="204"/>
        <v>48.981329999999922</v>
      </c>
      <c r="U506" s="311">
        <f t="shared" ca="1" si="205"/>
        <v>0</v>
      </c>
      <c r="V506" s="306">
        <f t="shared" ca="1" si="206"/>
        <v>0.99314491066800714</v>
      </c>
      <c r="W506" s="304">
        <f t="shared" ca="1" si="207"/>
        <v>5.1493216565585769</v>
      </c>
      <c r="Y506" s="314" t="str">
        <f t="shared" ca="1" si="225"/>
        <v/>
      </c>
      <c r="Z506" s="315" t="str">
        <f t="shared" ca="1" si="226"/>
        <v/>
      </c>
      <c r="AA506" s="316" t="str">
        <f t="shared" ca="1" si="227"/>
        <v/>
      </c>
      <c r="AC506" s="310" t="e">
        <f t="shared" ca="1" si="228"/>
        <v>#N/A</v>
      </c>
      <c r="AD506" s="323" t="e">
        <f t="shared" ca="1" si="229"/>
        <v>#N/A</v>
      </c>
      <c r="AE506" s="324">
        <f t="shared" ca="1" si="208"/>
        <v>2090.5314906785634</v>
      </c>
      <c r="AG506" s="306">
        <f t="shared" ca="1" si="230"/>
        <v>-9.173120249320128</v>
      </c>
      <c r="AH506" s="304">
        <f t="shared" ca="1" si="231"/>
        <v>-1.0793407621333724</v>
      </c>
    </row>
    <row r="507" spans="1:34" x14ac:dyDescent="0.2">
      <c r="A507" s="347">
        <f t="shared" ca="1" si="209"/>
        <v>0.1</v>
      </c>
      <c r="B507" s="304">
        <f t="shared" ca="1" si="210"/>
        <v>14.299999999999923</v>
      </c>
      <c r="D507" s="306">
        <f t="shared" ca="1" si="211"/>
        <v>-0.59448734784418911</v>
      </c>
      <c r="E507" s="307">
        <f t="shared" ca="1" si="212"/>
        <v>-10.652722563947599</v>
      </c>
      <c r="F507" s="304">
        <f t="shared" ca="1" si="213"/>
        <v>10.669297691562699</v>
      </c>
      <c r="G507" s="306">
        <f t="shared" ca="1" si="214"/>
        <v>22.984221489074976</v>
      </c>
      <c r="H507" s="307">
        <f t="shared" ca="1" si="215"/>
        <v>31.600554735945881</v>
      </c>
      <c r="I507" s="304">
        <f t="shared" ca="1" si="216"/>
        <v>39.075177505398074</v>
      </c>
      <c r="J507" s="306">
        <f t="shared" ca="1" si="217"/>
        <v>512.87704173065731</v>
      </c>
      <c r="K507" s="307">
        <f t="shared" ca="1" si="218"/>
        <v>2093.7448097649776</v>
      </c>
      <c r="L507" s="304">
        <f t="shared" ca="1" si="203"/>
        <v>2155.6461185343419</v>
      </c>
      <c r="M507" s="306">
        <f t="shared" ca="1" si="219"/>
        <v>0.94195864936294371</v>
      </c>
      <c r="N507" s="304">
        <f t="shared" ca="1" si="220"/>
        <v>53.970255084340046</v>
      </c>
      <c r="P507" s="310">
        <f t="shared" ca="1" si="221"/>
        <v>23</v>
      </c>
      <c r="Q507" s="304">
        <f t="shared" ca="1" si="222"/>
        <v>0</v>
      </c>
      <c r="R507" s="306">
        <f t="shared" ca="1" si="223"/>
        <v>0</v>
      </c>
      <c r="S507" s="307">
        <f t="shared" ca="1" si="224"/>
        <v>4.9929999999999914</v>
      </c>
      <c r="T507" s="304">
        <f t="shared" ca="1" si="204"/>
        <v>48.981329999999922</v>
      </c>
      <c r="U507" s="311">
        <f t="shared" ca="1" si="205"/>
        <v>0</v>
      </c>
      <c r="V507" s="306">
        <f t="shared" ca="1" si="206"/>
        <v>0.99282230318614983</v>
      </c>
      <c r="W507" s="304">
        <f t="shared" ca="1" si="207"/>
        <v>4.9183095933088747</v>
      </c>
      <c r="Y507" s="314" t="str">
        <f t="shared" ca="1" si="225"/>
        <v/>
      </c>
      <c r="Z507" s="315" t="str">
        <f t="shared" ca="1" si="226"/>
        <v/>
      </c>
      <c r="AA507" s="316" t="str">
        <f t="shared" ca="1" si="227"/>
        <v/>
      </c>
      <c r="AC507" s="310" t="e">
        <f t="shared" ca="1" si="228"/>
        <v>#N/A</v>
      </c>
      <c r="AD507" s="323" t="e">
        <f t="shared" ca="1" si="229"/>
        <v>#N/A</v>
      </c>
      <c r="AE507" s="324">
        <f t="shared" ca="1" si="208"/>
        <v>2093.7448097649776</v>
      </c>
      <c r="AG507" s="306">
        <f t="shared" ca="1" si="230"/>
        <v>-9.0474459681122035</v>
      </c>
      <c r="AH507" s="304">
        <f t="shared" ca="1" si="231"/>
        <v>-1.0313081627395526</v>
      </c>
    </row>
    <row r="508" spans="1:34" x14ac:dyDescent="0.2">
      <c r="A508" s="347">
        <f t="shared" ca="1" si="209"/>
        <v>0.1</v>
      </c>
      <c r="B508" s="304">
        <f t="shared" ca="1" si="210"/>
        <v>14.399999999999922</v>
      </c>
      <c r="D508" s="306">
        <f t="shared" ca="1" si="211"/>
        <v>-0.57940619631783974</v>
      </c>
      <c r="E508" s="307">
        <f t="shared" ca="1" si="212"/>
        <v>-10.6066142003022</v>
      </c>
      <c r="F508" s="304">
        <f t="shared" ca="1" si="213"/>
        <v>10.622427986782673</v>
      </c>
      <c r="G508" s="306">
        <f t="shared" ca="1" si="214"/>
        <v>22.926280869443193</v>
      </c>
      <c r="H508" s="307">
        <f t="shared" ca="1" si="215"/>
        <v>30.539893315915663</v>
      </c>
      <c r="I508" s="304">
        <f t="shared" ca="1" si="216"/>
        <v>38.187686997933078</v>
      </c>
      <c r="J508" s="306">
        <f t="shared" ca="1" si="217"/>
        <v>515.17256684858319</v>
      </c>
      <c r="K508" s="307">
        <f t="shared" ca="1" si="218"/>
        <v>2096.8518321675706</v>
      </c>
      <c r="L508" s="304">
        <f t="shared" ca="1" si="203"/>
        <v>2159.2105917899385</v>
      </c>
      <c r="M508" s="306">
        <f t="shared" ca="1" si="219"/>
        <v>0.92684772542170246</v>
      </c>
      <c r="N508" s="304">
        <f t="shared" ca="1" si="220"/>
        <v>53.10446291796373</v>
      </c>
      <c r="P508" s="310">
        <f t="shared" ca="1" si="221"/>
        <v>23</v>
      </c>
      <c r="Q508" s="304">
        <f t="shared" ca="1" si="222"/>
        <v>0</v>
      </c>
      <c r="R508" s="306">
        <f t="shared" ca="1" si="223"/>
        <v>0</v>
      </c>
      <c r="S508" s="307">
        <f t="shared" ca="1" si="224"/>
        <v>4.9929999999999914</v>
      </c>
      <c r="T508" s="304">
        <f t="shared" ca="1" si="204"/>
        <v>48.981329999999922</v>
      </c>
      <c r="U508" s="311">
        <f t="shared" ca="1" si="205"/>
        <v>0</v>
      </c>
      <c r="V508" s="306">
        <f t="shared" ca="1" si="206"/>
        <v>0.992510456791319</v>
      </c>
      <c r="W508" s="304">
        <f t="shared" ca="1" si="207"/>
        <v>4.6959581571292528</v>
      </c>
      <c r="Y508" s="314" t="str">
        <f t="shared" ca="1" si="225"/>
        <v/>
      </c>
      <c r="Z508" s="315" t="str">
        <f t="shared" ca="1" si="226"/>
        <v/>
      </c>
      <c r="AA508" s="316" t="str">
        <f t="shared" ca="1" si="227"/>
        <v/>
      </c>
      <c r="AC508" s="310" t="e">
        <f t="shared" ca="1" si="228"/>
        <v>#N/A</v>
      </c>
      <c r="AD508" s="323" t="e">
        <f t="shared" ca="1" si="229"/>
        <v>#N/A</v>
      </c>
      <c r="AE508" s="324">
        <f t="shared" ca="1" si="208"/>
        <v>2096.8518321675706</v>
      </c>
      <c r="AG508" s="306">
        <f t="shared" ca="1" si="230"/>
        <v>-8.9185031315565872</v>
      </c>
      <c r="AH508" s="304">
        <f t="shared" ca="1" si="231"/>
        <v>-0.98504097602821616</v>
      </c>
    </row>
    <row r="509" spans="1:34" x14ac:dyDescent="0.2">
      <c r="A509" s="347">
        <f t="shared" ca="1" si="209"/>
        <v>0.1</v>
      </c>
      <c r="B509" s="304">
        <f t="shared" ca="1" si="210"/>
        <v>14.499999999999922</v>
      </c>
      <c r="D509" s="306">
        <f t="shared" ca="1" si="211"/>
        <v>-0.56464164575546238</v>
      </c>
      <c r="E509" s="307">
        <f t="shared" ca="1" si="212"/>
        <v>-10.562154076855888</v>
      </c>
      <c r="F509" s="304">
        <f t="shared" ca="1" si="213"/>
        <v>10.577235883318709</v>
      </c>
      <c r="G509" s="306">
        <f t="shared" ca="1" si="214"/>
        <v>22.869816704867645</v>
      </c>
      <c r="H509" s="307">
        <f t="shared" ca="1" si="215"/>
        <v>29.483677908230074</v>
      </c>
      <c r="I509" s="304">
        <f t="shared" ca="1" si="216"/>
        <v>37.313747856661323</v>
      </c>
      <c r="J509" s="306">
        <f t="shared" ca="1" si="217"/>
        <v>517.46237172729877</v>
      </c>
      <c r="K509" s="307">
        <f t="shared" ca="1" si="218"/>
        <v>2099.8530107287779</v>
      </c>
      <c r="L509" s="304">
        <f t="shared" ca="1" si="203"/>
        <v>2162.6719521971786</v>
      </c>
      <c r="M509" s="306">
        <f t="shared" ca="1" si="219"/>
        <v>0.91106331287292908</v>
      </c>
      <c r="N509" s="304">
        <f t="shared" ca="1" si="220"/>
        <v>52.200082696825682</v>
      </c>
      <c r="P509" s="310">
        <f t="shared" ca="1" si="221"/>
        <v>23</v>
      </c>
      <c r="Q509" s="304">
        <f t="shared" ca="1" si="222"/>
        <v>0</v>
      </c>
      <c r="R509" s="306">
        <f t="shared" ca="1" si="223"/>
        <v>0</v>
      </c>
      <c r="S509" s="307">
        <f t="shared" ca="1" si="224"/>
        <v>4.9929999999999914</v>
      </c>
      <c r="T509" s="304">
        <f t="shared" ca="1" si="204"/>
        <v>48.981329999999922</v>
      </c>
      <c r="U509" s="311">
        <f t="shared" ca="1" si="205"/>
        <v>0</v>
      </c>
      <c r="V509" s="306">
        <f t="shared" ca="1" si="206"/>
        <v>0.99220931701274462</v>
      </c>
      <c r="W509" s="304">
        <f t="shared" ca="1" si="207"/>
        <v>4.4821198458623988</v>
      </c>
      <c r="Y509" s="314" t="str">
        <f t="shared" ca="1" si="225"/>
        <v/>
      </c>
      <c r="Z509" s="315" t="str">
        <f t="shared" ca="1" si="226"/>
        <v/>
      </c>
      <c r="AA509" s="316" t="str">
        <f t="shared" ca="1" si="227"/>
        <v/>
      </c>
      <c r="AC509" s="310" t="e">
        <f t="shared" ca="1" si="228"/>
        <v>#N/A</v>
      </c>
      <c r="AD509" s="323" t="e">
        <f t="shared" ca="1" si="229"/>
        <v>#N/A</v>
      </c>
      <c r="AE509" s="324">
        <f t="shared" ca="1" si="208"/>
        <v>2099.8530107287779</v>
      </c>
      <c r="AG509" s="306">
        <f t="shared" ca="1" si="230"/>
        <v>-8.7858736160893063</v>
      </c>
      <c r="AH509" s="304">
        <f t="shared" ca="1" si="231"/>
        <v>-0.94050834310620079</v>
      </c>
    </row>
    <row r="510" spans="1:34" x14ac:dyDescent="0.2">
      <c r="A510" s="347">
        <f t="shared" ca="1" si="209"/>
        <v>0.1</v>
      </c>
      <c r="B510" s="304">
        <f t="shared" ca="1" si="210"/>
        <v>14.599999999999921</v>
      </c>
      <c r="D510" s="306">
        <f t="shared" ca="1" si="211"/>
        <v>-0.55019382278871554</v>
      </c>
      <c r="E510" s="307">
        <f t="shared" ca="1" si="212"/>
        <v>-10.519307716259382</v>
      </c>
      <c r="F510" s="304">
        <f t="shared" ca="1" si="213"/>
        <v>10.533686347712706</v>
      </c>
      <c r="G510" s="306">
        <f t="shared" ca="1" si="214"/>
        <v>22.814797322588774</v>
      </c>
      <c r="H510" s="307">
        <f t="shared" ca="1" si="215"/>
        <v>28.431747136604137</v>
      </c>
      <c r="I510" s="304">
        <f t="shared" ca="1" si="216"/>
        <v>36.453795716092465</v>
      </c>
      <c r="J510" s="306">
        <f t="shared" ca="1" si="217"/>
        <v>519.74660242867162</v>
      </c>
      <c r="K510" s="307">
        <f t="shared" ca="1" si="218"/>
        <v>2102.7487819810194</v>
      </c>
      <c r="L510" s="304">
        <f t="shared" ca="1" si="203"/>
        <v>2166.0306948099346</v>
      </c>
      <c r="M510" s="306">
        <f t="shared" ca="1" si="219"/>
        <v>0.89456879003945788</v>
      </c>
      <c r="N510" s="304">
        <f t="shared" ca="1" si="220"/>
        <v>51.255016153385611</v>
      </c>
      <c r="P510" s="310">
        <f t="shared" ca="1" si="221"/>
        <v>23</v>
      </c>
      <c r="Q510" s="304">
        <f t="shared" ca="1" si="222"/>
        <v>0</v>
      </c>
      <c r="R510" s="306">
        <f t="shared" ca="1" si="223"/>
        <v>0</v>
      </c>
      <c r="S510" s="307">
        <f t="shared" ca="1" si="224"/>
        <v>4.9929999999999914</v>
      </c>
      <c r="T510" s="304">
        <f t="shared" ca="1" si="204"/>
        <v>48.981329999999922</v>
      </c>
      <c r="U510" s="311">
        <f t="shared" ca="1" si="205"/>
        <v>0</v>
      </c>
      <c r="V510" s="306">
        <f t="shared" ca="1" si="206"/>
        <v>0.99191883137841297</v>
      </c>
      <c r="W510" s="304">
        <f t="shared" ca="1" si="207"/>
        <v>4.2766535070308205</v>
      </c>
      <c r="Y510" s="314" t="str">
        <f t="shared" ca="1" si="225"/>
        <v/>
      </c>
      <c r="Z510" s="315" t="str">
        <f t="shared" ca="1" si="226"/>
        <v/>
      </c>
      <c r="AA510" s="316" t="str">
        <f t="shared" ca="1" si="227"/>
        <v/>
      </c>
      <c r="AC510" s="310" t="e">
        <f t="shared" ca="1" si="228"/>
        <v>#N/A</v>
      </c>
      <c r="AD510" s="323" t="e">
        <f t="shared" ca="1" si="229"/>
        <v>#N/A</v>
      </c>
      <c r="AE510" s="324">
        <f t="shared" ca="1" si="208"/>
        <v>2102.7487819810194</v>
      </c>
      <c r="AG510" s="306">
        <f t="shared" ca="1" si="230"/>
        <v>-8.6491100717845679</v>
      </c>
      <c r="AH510" s="304">
        <f t="shared" ca="1" si="231"/>
        <v>-0.89768072218353823</v>
      </c>
    </row>
    <row r="511" spans="1:34" x14ac:dyDescent="0.2">
      <c r="A511" s="347">
        <f t="shared" ca="1" si="209"/>
        <v>0.1</v>
      </c>
      <c r="B511" s="304">
        <f t="shared" ca="1" si="210"/>
        <v>14.699999999999921</v>
      </c>
      <c r="D511" s="306">
        <f t="shared" ca="1" si="211"/>
        <v>-0.53606364959205188</v>
      </c>
      <c r="E511" s="307">
        <f t="shared" ca="1" si="212"/>
        <v>-10.478041268078071</v>
      </c>
      <c r="F511" s="304">
        <f t="shared" ca="1" si="213"/>
        <v>10.491744995564897</v>
      </c>
      <c r="G511" s="306">
        <f t="shared" ca="1" si="214"/>
        <v>22.761190957629569</v>
      </c>
      <c r="H511" s="307">
        <f t="shared" ca="1" si="215"/>
        <v>27.383943009796329</v>
      </c>
      <c r="I511" s="304">
        <f t="shared" ca="1" si="216"/>
        <v>35.608315722222123</v>
      </c>
      <c r="J511" s="306">
        <f t="shared" ca="1" si="217"/>
        <v>522.02540184268253</v>
      </c>
      <c r="K511" s="307">
        <f t="shared" ca="1" si="218"/>
        <v>2105.5395664883395</v>
      </c>
      <c r="L511" s="304">
        <f t="shared" ca="1" si="203"/>
        <v>2169.2872991415679</v>
      </c>
      <c r="M511" s="306">
        <f t="shared" ca="1" si="219"/>
        <v>0.87732578496637215</v>
      </c>
      <c r="N511" s="304">
        <f t="shared" ca="1" si="220"/>
        <v>50.267064736575129</v>
      </c>
      <c r="P511" s="310">
        <f t="shared" ca="1" si="221"/>
        <v>23</v>
      </c>
      <c r="Q511" s="304">
        <f t="shared" ca="1" si="222"/>
        <v>0</v>
      </c>
      <c r="R511" s="306">
        <f t="shared" ca="1" si="223"/>
        <v>0</v>
      </c>
      <c r="S511" s="307">
        <f t="shared" ca="1" si="224"/>
        <v>4.9929999999999914</v>
      </c>
      <c r="T511" s="304">
        <f t="shared" ca="1" si="204"/>
        <v>48.981329999999922</v>
      </c>
      <c r="U511" s="311">
        <f t="shared" ca="1" si="205"/>
        <v>0</v>
      </c>
      <c r="V511" s="306">
        <f t="shared" ca="1" si="206"/>
        <v>0.9916389493737241</v>
      </c>
      <c r="W511" s="304">
        <f t="shared" ca="1" si="207"/>
        <v>4.0794241208898265</v>
      </c>
      <c r="Y511" s="314" t="str">
        <f t="shared" ca="1" si="225"/>
        <v/>
      </c>
      <c r="Z511" s="315" t="str">
        <f t="shared" ca="1" si="226"/>
        <v/>
      </c>
      <c r="AA511" s="316" t="str">
        <f t="shared" ca="1" si="227"/>
        <v/>
      </c>
      <c r="AC511" s="310" t="e">
        <f t="shared" ca="1" si="228"/>
        <v>#N/A</v>
      </c>
      <c r="AD511" s="323" t="e">
        <f t="shared" ca="1" si="229"/>
        <v>#N/A</v>
      </c>
      <c r="AE511" s="324">
        <f t="shared" ca="1" si="208"/>
        <v>2105.5395664883395</v>
      </c>
      <c r="AG511" s="306">
        <f t="shared" ca="1" si="230"/>
        <v>-8.507734167211515</v>
      </c>
      <c r="AH511" s="304">
        <f t="shared" ca="1" si="231"/>
        <v>-0.85652984318662684</v>
      </c>
    </row>
    <row r="512" spans="1:34" x14ac:dyDescent="0.2">
      <c r="A512" s="347">
        <f t="shared" ca="1" si="209"/>
        <v>0.1</v>
      </c>
      <c r="B512" s="304">
        <f t="shared" ca="1" si="210"/>
        <v>14.799999999999921</v>
      </c>
      <c r="D512" s="306">
        <f t="shared" ca="1" si="211"/>
        <v>-0.52225288023285521</v>
      </c>
      <c r="E512" s="307">
        <f t="shared" ca="1" si="212"/>
        <v>-10.438321388613661</v>
      </c>
      <c r="F512" s="304">
        <f t="shared" ca="1" si="213"/>
        <v>10.451377970531011</v>
      </c>
      <c r="G512" s="306">
        <f t="shared" ca="1" si="214"/>
        <v>22.708965669606282</v>
      </c>
      <c r="H512" s="307">
        <f t="shared" ca="1" si="215"/>
        <v>26.340110870934964</v>
      </c>
      <c r="I512" s="304">
        <f t="shared" ca="1" si="216"/>
        <v>34.777845857334277</v>
      </c>
      <c r="J512" s="306">
        <f t="shared" ca="1" si="217"/>
        <v>524.29890967404435</v>
      </c>
      <c r="K512" s="307">
        <f t="shared" ca="1" si="218"/>
        <v>2108.2257691823761</v>
      </c>
      <c r="L512" s="304">
        <f t="shared" ca="1" si="203"/>
        <v>2172.4422295034715</v>
      </c>
      <c r="M512" s="306">
        <f t="shared" ca="1" si="219"/>
        <v>0.85929422028895819</v>
      </c>
      <c r="N512" s="304">
        <f t="shared" ca="1" si="220"/>
        <v>49.233932182542141</v>
      </c>
      <c r="P512" s="310">
        <f t="shared" ca="1" si="221"/>
        <v>23</v>
      </c>
      <c r="Q512" s="304">
        <f t="shared" ca="1" si="222"/>
        <v>0</v>
      </c>
      <c r="R512" s="306">
        <f t="shared" ca="1" si="223"/>
        <v>0</v>
      </c>
      <c r="S512" s="307">
        <f t="shared" ca="1" si="224"/>
        <v>4.9929999999999914</v>
      </c>
      <c r="T512" s="304">
        <f t="shared" ca="1" si="204"/>
        <v>48.981329999999922</v>
      </c>
      <c r="U512" s="311">
        <f t="shared" ca="1" si="205"/>
        <v>0</v>
      </c>
      <c r="V512" s="306">
        <f t="shared" ca="1" si="206"/>
        <v>0.99136962240105431</v>
      </c>
      <c r="W512" s="304">
        <f t="shared" ca="1" si="207"/>
        <v>3.8903025924347698</v>
      </c>
      <c r="Y512" s="314" t="str">
        <f t="shared" ca="1" si="225"/>
        <v/>
      </c>
      <c r="Z512" s="315" t="str">
        <f t="shared" ca="1" si="226"/>
        <v/>
      </c>
      <c r="AA512" s="316" t="str">
        <f t="shared" ca="1" si="227"/>
        <v/>
      </c>
      <c r="AC512" s="310" t="e">
        <f t="shared" ca="1" si="228"/>
        <v>#N/A</v>
      </c>
      <c r="AD512" s="323" t="e">
        <f t="shared" ca="1" si="229"/>
        <v>#N/A</v>
      </c>
      <c r="AE512" s="324">
        <f t="shared" ca="1" si="208"/>
        <v>2108.2257691823761</v>
      </c>
      <c r="AG512" s="306">
        <f t="shared" ca="1" si="230"/>
        <v>-8.3612349958209968</v>
      </c>
      <c r="AH512" s="304">
        <f t="shared" ca="1" si="231"/>
        <v>-0.81702866430799792</v>
      </c>
    </row>
    <row r="513" spans="1:34" x14ac:dyDescent="0.2">
      <c r="A513" s="347">
        <f t="shared" ca="1" si="209"/>
        <v>0.1</v>
      </c>
      <c r="B513" s="304">
        <f t="shared" ca="1" si="210"/>
        <v>14.89999999999992</v>
      </c>
      <c r="D513" s="306">
        <f t="shared" ca="1" si="211"/>
        <v>-0.50876413924303432</v>
      </c>
      <c r="E513" s="307">
        <f t="shared" ca="1" si="212"/>
        <v>-10.400115112673454</v>
      </c>
      <c r="F513" s="304">
        <f t="shared" ca="1" si="213"/>
        <v>10.412551815296693</v>
      </c>
      <c r="G513" s="306">
        <f t="shared" ca="1" si="214"/>
        <v>22.658089255681979</v>
      </c>
      <c r="H513" s="307">
        <f t="shared" ca="1" si="215"/>
        <v>25.30009935966762</v>
      </c>
      <c r="I513" s="304">
        <f t="shared" ca="1" si="216"/>
        <v>33.9629803805188</v>
      </c>
      <c r="J513" s="306">
        <f t="shared" ca="1" si="217"/>
        <v>526.56726242030879</v>
      </c>
      <c r="K513" s="307">
        <f t="shared" ca="1" si="218"/>
        <v>2110.807779693906</v>
      </c>
      <c r="L513" s="304">
        <f t="shared" ca="1" si="203"/>
        <v>2175.4959353373051</v>
      </c>
      <c r="M513" s="306">
        <f t="shared" ca="1" si="219"/>
        <v>0.84043239836532224</v>
      </c>
      <c r="N513" s="304">
        <f t="shared" ca="1" si="220"/>
        <v>48.153229392390472</v>
      </c>
      <c r="P513" s="310">
        <f t="shared" ca="1" si="221"/>
        <v>23</v>
      </c>
      <c r="Q513" s="304">
        <f t="shared" ca="1" si="222"/>
        <v>0</v>
      </c>
      <c r="R513" s="306">
        <f t="shared" ca="1" si="223"/>
        <v>0</v>
      </c>
      <c r="S513" s="307">
        <f t="shared" ca="1" si="224"/>
        <v>4.9929999999999914</v>
      </c>
      <c r="T513" s="304">
        <f t="shared" ca="1" si="204"/>
        <v>48.981329999999922</v>
      </c>
      <c r="U513" s="311">
        <f t="shared" ca="1" si="205"/>
        <v>0</v>
      </c>
      <c r="V513" s="306">
        <f t="shared" ca="1" si="206"/>
        <v>0.99111080374008564</v>
      </c>
      <c r="W513" s="304">
        <f t="shared" ca="1" si="207"/>
        <v>3.7091655516553157</v>
      </c>
      <c r="Y513" s="314" t="str">
        <f t="shared" ca="1" si="225"/>
        <v/>
      </c>
      <c r="Z513" s="315" t="str">
        <f t="shared" ca="1" si="226"/>
        <v/>
      </c>
      <c r="AA513" s="316" t="str">
        <f t="shared" ca="1" si="227"/>
        <v/>
      </c>
      <c r="AC513" s="310" t="e">
        <f t="shared" ca="1" si="228"/>
        <v>#N/A</v>
      </c>
      <c r="AD513" s="323" t="e">
        <f t="shared" ca="1" si="229"/>
        <v>#N/A</v>
      </c>
      <c r="AE513" s="324">
        <f t="shared" ca="1" si="208"/>
        <v>2110.807779693906</v>
      </c>
      <c r="AG513" s="306">
        <f t="shared" ca="1" si="230"/>
        <v>-8.2090677404648513</v>
      </c>
      <c r="AH513" s="304">
        <f t="shared" ca="1" si="231"/>
        <v>-0.7791513303494445</v>
      </c>
    </row>
    <row r="514" spans="1:34" x14ac:dyDescent="0.2">
      <c r="A514" s="347">
        <f t="shared" ca="1" si="209"/>
        <v>0.1</v>
      </c>
      <c r="B514" s="304">
        <f t="shared" ca="1" si="210"/>
        <v>14.99999999999992</v>
      </c>
      <c r="D514" s="306">
        <f t="shared" ca="1" si="211"/>
        <v>-0.49560096193447678</v>
      </c>
      <c r="E514" s="307">
        <f t="shared" ca="1" si="212"/>
        <v>-10.363389716061109</v>
      </c>
      <c r="F514" s="304">
        <f t="shared" ca="1" si="213"/>
        <v>10.375233333300583</v>
      </c>
      <c r="G514" s="306">
        <f t="shared" ca="1" si="214"/>
        <v>22.60852915948853</v>
      </c>
      <c r="H514" s="307">
        <f t="shared" ca="1" si="215"/>
        <v>24.26376038806151</v>
      </c>
      <c r="I514" s="304">
        <f t="shared" ca="1" si="216"/>
        <v>33.164373338338628</v>
      </c>
      <c r="J514" s="306">
        <f t="shared" ca="1" si="217"/>
        <v>528.83059334106736</v>
      </c>
      <c r="K514" s="307">
        <f t="shared" ca="1" si="218"/>
        <v>2113.2859726812926</v>
      </c>
      <c r="L514" s="304">
        <f t="shared" ca="1" si="203"/>
        <v>2178.4488515420744</v>
      </c>
      <c r="M514" s="306">
        <f t="shared" ca="1" si="219"/>
        <v>0.82069713652353971</v>
      </c>
      <c r="N514" s="304">
        <f t="shared" ca="1" si="220"/>
        <v>47.022482181270753</v>
      </c>
      <c r="P514" s="310">
        <f t="shared" ca="1" si="221"/>
        <v>23</v>
      </c>
      <c r="Q514" s="304">
        <f t="shared" ca="1" si="222"/>
        <v>0</v>
      </c>
      <c r="R514" s="306">
        <f t="shared" ca="1" si="223"/>
        <v>0</v>
      </c>
      <c r="S514" s="307">
        <f t="shared" ca="1" si="224"/>
        <v>4.9929999999999914</v>
      </c>
      <c r="T514" s="304">
        <f t="shared" ca="1" si="204"/>
        <v>48.981329999999922</v>
      </c>
      <c r="U514" s="311">
        <f t="shared" ca="1" si="205"/>
        <v>0</v>
      </c>
      <c r="V514" s="306">
        <f t="shared" ca="1" si="206"/>
        <v>0.99086244850876071</v>
      </c>
      <c r="W514" s="304">
        <f t="shared" ca="1" si="207"/>
        <v>3.5358951613324399</v>
      </c>
      <c r="Y514" s="314" t="str">
        <f t="shared" ca="1" si="225"/>
        <v/>
      </c>
      <c r="Z514" s="315" t="str">
        <f t="shared" ca="1" si="226"/>
        <v/>
      </c>
      <c r="AA514" s="316" t="str">
        <f t="shared" ca="1" si="227"/>
        <v/>
      </c>
      <c r="AC514" s="310">
        <f t="shared" ca="1" si="228"/>
        <v>14.99999999999992</v>
      </c>
      <c r="AD514" s="323">
        <f t="shared" ca="1" si="229"/>
        <v>528.83059334106736</v>
      </c>
      <c r="AE514" s="324">
        <f t="shared" ca="1" si="208"/>
        <v>2113.2859726812926</v>
      </c>
      <c r="AG514" s="306">
        <f t="shared" ca="1" si="230"/>
        <v>-8.0506527191251251</v>
      </c>
      <c r="AH514" s="304">
        <f t="shared" ca="1" si="231"/>
        <v>-0.74287313271686806</v>
      </c>
    </row>
    <row r="515" spans="1:34" x14ac:dyDescent="0.2">
      <c r="A515" s="347">
        <f t="shared" ca="1" si="209"/>
        <v>0.1</v>
      </c>
      <c r="B515" s="304">
        <f t="shared" ca="1" si="210"/>
        <v>15.09999999999992</v>
      </c>
      <c r="D515" s="306">
        <f t="shared" ca="1" si="211"/>
        <v>-0.48276783578798055</v>
      </c>
      <c r="E515" s="307">
        <f t="shared" ca="1" si="212"/>
        <v>-10.328112567517753</v>
      </c>
      <c r="F515" s="304">
        <f t="shared" ca="1" si="213"/>
        <v>10.339389439932591</v>
      </c>
      <c r="G515" s="306">
        <f t="shared" ca="1" si="214"/>
        <v>22.56025237590973</v>
      </c>
      <c r="H515" s="307">
        <f t="shared" ca="1" si="215"/>
        <v>23.230949131309735</v>
      </c>
      <c r="I515" s="304">
        <f t="shared" ca="1" si="216"/>
        <v>32.382742082878671</v>
      </c>
      <c r="J515" s="306">
        <f t="shared" ca="1" si="217"/>
        <v>531.0890324178373</v>
      </c>
      <c r="K515" s="307">
        <f t="shared" ca="1" si="218"/>
        <v>2115.6607081572611</v>
      </c>
      <c r="L515" s="304">
        <f t="shared" ca="1" si="203"/>
        <v>2181.3013987972863</v>
      </c>
      <c r="M515" s="306">
        <f t="shared" ca="1" si="219"/>
        <v>0.80004396385561594</v>
      </c>
      <c r="N515" s="304">
        <f t="shared" ca="1" si="220"/>
        <v>45.839142553843772</v>
      </c>
      <c r="P515" s="310">
        <f t="shared" ca="1" si="221"/>
        <v>23</v>
      </c>
      <c r="Q515" s="304">
        <f t="shared" ca="1" si="222"/>
        <v>0</v>
      </c>
      <c r="R515" s="306">
        <f t="shared" ca="1" si="223"/>
        <v>0</v>
      </c>
      <c r="S515" s="307">
        <f t="shared" ca="1" si="224"/>
        <v>4.9929999999999914</v>
      </c>
      <c r="T515" s="304">
        <f t="shared" ca="1" si="204"/>
        <v>48.981329999999922</v>
      </c>
      <c r="U515" s="311">
        <f t="shared" ca="1" si="205"/>
        <v>0</v>
      </c>
      <c r="V515" s="306">
        <f t="shared" ca="1" si="206"/>
        <v>0.99062451362470805</v>
      </c>
      <c r="W515" s="304">
        <f t="shared" ca="1" si="207"/>
        <v>3.3703789316721213</v>
      </c>
      <c r="Y515" s="314" t="str">
        <f t="shared" ca="1" si="225"/>
        <v/>
      </c>
      <c r="Z515" s="315" t="str">
        <f t="shared" ca="1" si="226"/>
        <v/>
      </c>
      <c r="AA515" s="316" t="str">
        <f t="shared" ca="1" si="227"/>
        <v/>
      </c>
      <c r="AC515" s="310" t="e">
        <f t="shared" ca="1" si="228"/>
        <v>#N/A</v>
      </c>
      <c r="AD515" s="323" t="e">
        <f t="shared" ca="1" si="229"/>
        <v>#N/A</v>
      </c>
      <c r="AE515" s="324">
        <f t="shared" ca="1" si="208"/>
        <v>2115.6607081572611</v>
      </c>
      <c r="AG515" s="306">
        <f t="shared" ca="1" si="230"/>
        <v>-7.8853749662002155</v>
      </c>
      <c r="AH515" s="304">
        <f t="shared" ca="1" si="231"/>
        <v>-0.70817047092578533</v>
      </c>
    </row>
    <row r="516" spans="1:34" x14ac:dyDescent="0.2">
      <c r="A516" s="347">
        <f t="shared" ca="1" si="209"/>
        <v>0.1</v>
      </c>
      <c r="B516" s="304">
        <f t="shared" ca="1" si="210"/>
        <v>15.199999999999919</v>
      </c>
      <c r="D516" s="306">
        <f t="shared" ca="1" si="211"/>
        <v>-0.47027024200599371</v>
      </c>
      <c r="E516" s="307">
        <f t="shared" ca="1" si="212"/>
        <v>-10.294250968826736</v>
      </c>
      <c r="F516" s="304">
        <f t="shared" ca="1" si="213"/>
        <v>10.30498700191837</v>
      </c>
      <c r="G516" s="306">
        <f t="shared" ca="1" si="214"/>
        <v>22.513225351709131</v>
      </c>
      <c r="H516" s="307">
        <f t="shared" ca="1" si="215"/>
        <v>22.201524034427063</v>
      </c>
      <c r="I516" s="304">
        <f t="shared" ca="1" si="216"/>
        <v>31.618870713358522</v>
      </c>
      <c r="J516" s="306">
        <f t="shared" ca="1" si="217"/>
        <v>533.34270630421827</v>
      </c>
      <c r="K516" s="307">
        <f t="shared" ca="1" si="218"/>
        <v>2117.932331815548</v>
      </c>
      <c r="L516" s="304">
        <f t="shared" ref="L516:L579" ca="1" si="232">SQRT(pos_x^2+pos_z^2)</f>
        <v>2184.0539838835375</v>
      </c>
      <c r="M516" s="306">
        <f t="shared" ca="1" si="219"/>
        <v>0.77842739261484228</v>
      </c>
      <c r="N516" s="304">
        <f t="shared" ca="1" si="220"/>
        <v>44.600604254203567</v>
      </c>
      <c r="P516" s="310">
        <f t="shared" ca="1" si="221"/>
        <v>23</v>
      </c>
      <c r="Q516" s="304">
        <f t="shared" ca="1" si="222"/>
        <v>0</v>
      </c>
      <c r="R516" s="306">
        <f t="shared" ca="1" si="223"/>
        <v>0</v>
      </c>
      <c r="S516" s="307">
        <f t="shared" ca="1" si="224"/>
        <v>4.9929999999999914</v>
      </c>
      <c r="T516" s="304">
        <f t="shared" ref="T516:T579" ca="1" si="233">m*g</f>
        <v>48.981329999999922</v>
      </c>
      <c r="U516" s="311">
        <f t="shared" ref="U516:U579" ca="1" si="234">IF(pos_xz&lt;L_rampe,Poids*COS(Beta),0)</f>
        <v>0</v>
      </c>
      <c r="V516" s="306">
        <f t="shared" ref="V516:V579" ca="1" si="235">Rho_moyen*(20000-Alt_rampe-pos_z)/(20000+Alt_rampe+pos_z)</f>
        <v>0.990396957766976</v>
      </c>
      <c r="W516" s="304">
        <f t="shared" ref="W516:W579" ca="1" si="236">1/2*Rho*Sref*Cx*vit_xz^2</f>
        <v>3.2125095410631141</v>
      </c>
      <c r="Y516" s="314" t="str">
        <f t="shared" ca="1" si="225"/>
        <v/>
      </c>
      <c r="Z516" s="315" t="str">
        <f t="shared" ca="1" si="226"/>
        <v/>
      </c>
      <c r="AA516" s="316" t="str">
        <f t="shared" ca="1" si="227"/>
        <v/>
      </c>
      <c r="AC516" s="310" t="e">
        <f t="shared" ca="1" si="228"/>
        <v>#N/A</v>
      </c>
      <c r="AD516" s="323" t="e">
        <f t="shared" ca="1" si="229"/>
        <v>#N/A</v>
      </c>
      <c r="AE516" s="324">
        <f t="shared" ref="AE516:AE579" ca="1" si="237">IF(t&lt;T_para, pos_z, NA())</f>
        <v>2117.932331815548</v>
      </c>
      <c r="AG516" s="306">
        <f t="shared" ca="1" si="230"/>
        <v>-7.7125845398476907</v>
      </c>
      <c r="AH516" s="304">
        <f t="shared" ca="1" si="231"/>
        <v>-0.67502081547609194</v>
      </c>
    </row>
    <row r="517" spans="1:34" x14ac:dyDescent="0.2">
      <c r="A517" s="347">
        <f t="shared" ref="A517:A580" ca="1" si="238">IF(B516+0.01&lt;=T_ini+ROUNDUP(Temps_fin_propu,0), 0.01, IF(K516&gt;0, 0.1, 0.0001))</f>
        <v>0.1</v>
      </c>
      <c r="B517" s="304">
        <f t="shared" ref="B517:B580" ca="1" si="239">B516+pas</f>
        <v>15.299999999999919</v>
      </c>
      <c r="D517" s="306">
        <f t="shared" ref="D517:D580" ca="1" si="240">IF(AND(L516&lt;L_rampe,Poussee&lt;Poids*SIN(M516)),0,(-W516+Poussee)/m*COS(M516)-U516/m*SIN(M516))</f>
        <v>-0.4581146960273319</v>
      </c>
      <c r="E517" s="307">
        <f t="shared" ref="E517:E580" ca="1" si="241">IF(AND(L516&lt;L_rampe,Poussee&lt;Poids*SIN(M516)),0,(-W516+Poussee)/m*SIN(M516)+U516/m*COS(M516)-Poids/m)</f>
        <v>-10.26177198182325</v>
      </c>
      <c r="F517" s="304">
        <f t="shared" ref="F517:F580" ca="1" si="242">SQRT(acc_x^2+acc_z^2)</f>
        <v>10.271992663629042</v>
      </c>
      <c r="G517" s="306">
        <f t="shared" ref="G517:G580" ca="1" si="243">G516+acc_x*pas</f>
        <v>22.467413882106399</v>
      </c>
      <c r="H517" s="307">
        <f t="shared" ref="H517:H580" ca="1" si="244">H516+acc_z*pas</f>
        <v>21.175346836244739</v>
      </c>
      <c r="I517" s="304">
        <f t="shared" ref="I517:I580" ca="1" si="245">SQRT(vit_x^2+vit_z^2)</f>
        <v>30.873613332182668</v>
      </c>
      <c r="J517" s="306">
        <f t="shared" ref="J517:J580" ca="1" si="246">J516+0.5*(vit_x+G516)*pas*(K516&gt;=0)</f>
        <v>535.59173826590904</v>
      </c>
      <c r="K517" s="307">
        <f t="shared" ref="K517:K580" ca="1" si="247">K516+0.5*(vit_z+H516)*pas</f>
        <v>2120.1011753590815</v>
      </c>
      <c r="L517" s="304">
        <f t="shared" ca="1" si="232"/>
        <v>2186.7070000019794</v>
      </c>
      <c r="M517" s="306">
        <f t="shared" ref="M517:M580" ca="1" si="248">IF(AND(L516&gt;L_rampe,G517&gt;0),ATAN2(G517,H517),$M$4)</f>
        <v>0.75580127883953552</v>
      </c>
      <c r="N517" s="304">
        <f t="shared" ref="N517:N580" ca="1" si="249">DEGREES(Beta)</f>
        <v>43.304223428095682</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4.9929999999999914</v>
      </c>
      <c r="T517" s="304">
        <f t="shared" ca="1" si="233"/>
        <v>48.981329999999922</v>
      </c>
      <c r="U517" s="311">
        <f t="shared" ca="1" si="234"/>
        <v>0</v>
      </c>
      <c r="V517" s="306">
        <f t="shared" ca="1" si="235"/>
        <v>0.99017974133789499</v>
      </c>
      <c r="W517" s="304">
        <f t="shared" ca="1" si="236"/>
        <v>3.0621846622350155</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f t="shared" ca="1" si="237"/>
        <v>2120.1011753590815</v>
      </c>
      <c r="AG517" s="306">
        <f t="shared" ref="AG517:AG580" ca="1" si="259">IF(AND(L516&lt;L_rampe,Poussee&lt;Poids*SIN(M516)),0,(-W516+Poussee)/m-Poids*SIN(M516)/m)</f>
        <v>-7.5315977865787973</v>
      </c>
      <c r="AH517" s="304">
        <f t="shared" ref="AH517:AH580" ca="1" si="260">IF(AND(L516&lt;L_rampe,Poussee&lt;Poids*SIN(M516)), g*SIN(M516), (-W516+Poussee)/m)</f>
        <v>-0.64340267195335865</v>
      </c>
    </row>
    <row r="518" spans="1:34" x14ac:dyDescent="0.2">
      <c r="A518" s="347">
        <f t="shared" ca="1" si="238"/>
        <v>0.1</v>
      </c>
      <c r="B518" s="304">
        <f t="shared" ca="1" si="239"/>
        <v>15.399999999999919</v>
      </c>
      <c r="D518" s="306">
        <f t="shared" ca="1" si="240"/>
        <v>-0.44630878545166536</v>
      </c>
      <c r="E518" s="307">
        <f t="shared" ca="1" si="241"/>
        <v>-10.230642241140577</v>
      </c>
      <c r="F518" s="304">
        <f t="shared" ca="1" si="242"/>
        <v>10.24037265914582</v>
      </c>
      <c r="G518" s="306">
        <f t="shared" ca="1" si="243"/>
        <v>22.422783003561232</v>
      </c>
      <c r="H518" s="307">
        <f t="shared" ca="1" si="244"/>
        <v>20.15228261213068</v>
      </c>
      <c r="I518" s="304">
        <f t="shared" ca="1" si="245"/>
        <v>30.147896976472154</v>
      </c>
      <c r="J518" s="306">
        <f t="shared" ca="1" si="246"/>
        <v>537.8362481101924</v>
      </c>
      <c r="K518" s="307">
        <f t="shared" ca="1" si="247"/>
        <v>2122.1675568315004</v>
      </c>
      <c r="L518" s="304">
        <f t="shared" ca="1" si="232"/>
        <v>2189.2608270942565</v>
      </c>
      <c r="M518" s="306">
        <f t="shared" ca="1" si="248"/>
        <v>0.73211928818466343</v>
      </c>
      <c r="N518" s="304">
        <f t="shared" ca="1" si="249"/>
        <v>41.947345313103249</v>
      </c>
      <c r="P518" s="310">
        <f t="shared" ca="1" si="250"/>
        <v>23</v>
      </c>
      <c r="Q518" s="304">
        <f t="shared" ca="1" si="251"/>
        <v>0</v>
      </c>
      <c r="R518" s="306">
        <f t="shared" ca="1" si="252"/>
        <v>0</v>
      </c>
      <c r="S518" s="307">
        <f t="shared" ca="1" si="253"/>
        <v>4.9929999999999914</v>
      </c>
      <c r="T518" s="304">
        <f t="shared" ca="1" si="233"/>
        <v>48.981329999999922</v>
      </c>
      <c r="U518" s="311">
        <f t="shared" ca="1" si="234"/>
        <v>0</v>
      </c>
      <c r="V518" s="306">
        <f t="shared" ca="1" si="235"/>
        <v>0.98997282642488682</v>
      </c>
      <c r="W518" s="304">
        <f t="shared" ca="1" si="236"/>
        <v>2.9193067930772636</v>
      </c>
      <c r="Y518" s="314" t="str">
        <f t="shared" ca="1" si="254"/>
        <v/>
      </c>
      <c r="Z518" s="315" t="str">
        <f t="shared" ca="1" si="255"/>
        <v/>
      </c>
      <c r="AA518" s="316" t="str">
        <f t="shared" ca="1" si="256"/>
        <v/>
      </c>
      <c r="AC518" s="310" t="e">
        <f t="shared" ca="1" si="257"/>
        <v>#N/A</v>
      </c>
      <c r="AD518" s="323" t="e">
        <f t="shared" ca="1" si="258"/>
        <v>#N/A</v>
      </c>
      <c r="AE518" s="324">
        <f t="shared" ca="1" si="237"/>
        <v>2122.1675568315004</v>
      </c>
      <c r="AG518" s="306">
        <f t="shared" ca="1" si="259"/>
        <v>-7.3416998385276528</v>
      </c>
      <c r="AH518" s="304">
        <f t="shared" ca="1" si="260"/>
        <v>-0.61329554621170057</v>
      </c>
    </row>
    <row r="519" spans="1:34" x14ac:dyDescent="0.2">
      <c r="A519" s="347">
        <f t="shared" ca="1" si="238"/>
        <v>0.1</v>
      </c>
      <c r="B519" s="304">
        <f t="shared" ca="1" si="239"/>
        <v>15.499999999999918</v>
      </c>
      <c r="D519" s="306">
        <f t="shared" ca="1" si="240"/>
        <v>-0.43486120340975548</v>
      </c>
      <c r="E519" s="307">
        <f t="shared" ca="1" si="241"/>
        <v>-10.200827751701153</v>
      </c>
      <c r="F519" s="304">
        <f t="shared" ca="1" si="242"/>
        <v>10.210092609085747</v>
      </c>
      <c r="G519" s="306">
        <f t="shared" ca="1" si="243"/>
        <v>22.379296883220256</v>
      </c>
      <c r="H519" s="307">
        <f t="shared" ca="1" si="244"/>
        <v>19.132199836960563</v>
      </c>
      <c r="I519" s="304">
        <f t="shared" ca="1" si="245"/>
        <v>29.442724051770508</v>
      </c>
      <c r="J519" s="306">
        <f t="shared" ca="1" si="246"/>
        <v>540.07635210453145</v>
      </c>
      <c r="K519" s="307">
        <f t="shared" ca="1" si="247"/>
        <v>2124.1317809539551</v>
      </c>
      <c r="L519" s="304">
        <f t="shared" ca="1" si="232"/>
        <v>2191.7158321646443</v>
      </c>
      <c r="M519" s="306">
        <f t="shared" ca="1" si="248"/>
        <v>0.70733548388023149</v>
      </c>
      <c r="N519" s="304">
        <f t="shared" ca="1" si="249"/>
        <v>40.52733792618114</v>
      </c>
      <c r="P519" s="310">
        <f t="shared" ca="1" si="250"/>
        <v>23</v>
      </c>
      <c r="Q519" s="304">
        <f t="shared" ca="1" si="251"/>
        <v>0</v>
      </c>
      <c r="R519" s="306">
        <f t="shared" ca="1" si="252"/>
        <v>0</v>
      </c>
      <c r="S519" s="307">
        <f t="shared" ca="1" si="253"/>
        <v>4.9929999999999914</v>
      </c>
      <c r="T519" s="304">
        <f t="shared" ca="1" si="233"/>
        <v>48.981329999999922</v>
      </c>
      <c r="U519" s="311">
        <f t="shared" ca="1" si="234"/>
        <v>0</v>
      </c>
      <c r="V519" s="306">
        <f t="shared" ca="1" si="235"/>
        <v>0.98977617676200647</v>
      </c>
      <c r="W519" s="304">
        <f t="shared" ca="1" si="236"/>
        <v>2.7837830913601653</v>
      </c>
      <c r="Y519" s="314" t="str">
        <f t="shared" ca="1" si="254"/>
        <v/>
      </c>
      <c r="Z519" s="315" t="str">
        <f t="shared" ca="1" si="255"/>
        <v/>
      </c>
      <c r="AA519" s="316" t="str">
        <f t="shared" ca="1" si="256"/>
        <v/>
      </c>
      <c r="AC519" s="310" t="e">
        <f t="shared" ca="1" si="257"/>
        <v>#N/A</v>
      </c>
      <c r="AD519" s="323" t="e">
        <f t="shared" ca="1" si="258"/>
        <v>#N/A</v>
      </c>
      <c r="AE519" s="324">
        <f t="shared" ca="1" si="237"/>
        <v>2124.1317809539551</v>
      </c>
      <c r="AG519" s="306">
        <f t="shared" ca="1" si="259"/>
        <v>-7.1421486645888104</v>
      </c>
      <c r="AH519" s="304">
        <f t="shared" ca="1" si="260"/>
        <v>-0.5846799104901399</v>
      </c>
    </row>
    <row r="520" spans="1:34" x14ac:dyDescent="0.2">
      <c r="A520" s="347">
        <f t="shared" ca="1" si="238"/>
        <v>0.1</v>
      </c>
      <c r="B520" s="304">
        <f t="shared" ca="1" si="239"/>
        <v>15.599999999999918</v>
      </c>
      <c r="D520" s="306">
        <f t="shared" ca="1" si="240"/>
        <v>-0.42378177494273672</v>
      </c>
      <c r="E520" s="307">
        <f t="shared" ca="1" si="241"/>
        <v>-10.172293670251342</v>
      </c>
      <c r="F520" s="304">
        <f t="shared" ca="1" si="242"/>
        <v>10.181117301485585</v>
      </c>
      <c r="G520" s="306">
        <f t="shared" ca="1" si="243"/>
        <v>22.336918705725981</v>
      </c>
      <c r="H520" s="307">
        <f t="shared" ca="1" si="244"/>
        <v>18.114970469935429</v>
      </c>
      <c r="I520" s="304">
        <f t="shared" ca="1" si="245"/>
        <v>28.759174056165868</v>
      </c>
      <c r="J520" s="306">
        <f t="shared" ca="1" si="246"/>
        <v>542.31216288397877</v>
      </c>
      <c r="K520" s="307">
        <f t="shared" ca="1" si="247"/>
        <v>2125.9941394693001</v>
      </c>
      <c r="L520" s="304">
        <f t="shared" ca="1" si="232"/>
        <v>2194.0723696062782</v>
      </c>
      <c r="M520" s="306">
        <f t="shared" ca="1" si="248"/>
        <v>0.68140505396256856</v>
      </c>
      <c r="N520" s="304">
        <f t="shared" ca="1" si="249"/>
        <v>39.041633730939289</v>
      </c>
      <c r="P520" s="310">
        <f t="shared" ca="1" si="250"/>
        <v>23</v>
      </c>
      <c r="Q520" s="304">
        <f t="shared" ca="1" si="251"/>
        <v>0</v>
      </c>
      <c r="R520" s="306">
        <f t="shared" ca="1" si="252"/>
        <v>0</v>
      </c>
      <c r="S520" s="307">
        <f t="shared" ca="1" si="253"/>
        <v>4.9929999999999914</v>
      </c>
      <c r="T520" s="304">
        <f t="shared" ca="1" si="233"/>
        <v>48.981329999999922</v>
      </c>
      <c r="U520" s="311">
        <f t="shared" ca="1" si="234"/>
        <v>0</v>
      </c>
      <c r="V520" s="306">
        <f t="shared" ca="1" si="235"/>
        <v>0.98958975769100888</v>
      </c>
      <c r="W520" s="304">
        <f t="shared" ca="1" si="236"/>
        <v>2.6555252125762778</v>
      </c>
      <c r="Y520" s="314" t="str">
        <f t="shared" ca="1" si="254"/>
        <v/>
      </c>
      <c r="Z520" s="315" t="str">
        <f t="shared" ca="1" si="255"/>
        <v/>
      </c>
      <c r="AA520" s="316" t="str">
        <f t="shared" ca="1" si="256"/>
        <v/>
      </c>
      <c r="AC520" s="310" t="e">
        <f t="shared" ca="1" si="257"/>
        <v>#N/A</v>
      </c>
      <c r="AD520" s="323" t="e">
        <f t="shared" ca="1" si="258"/>
        <v>#N/A</v>
      </c>
      <c r="AE520" s="324">
        <f t="shared" ca="1" si="237"/>
        <v>2125.9941394693001</v>
      </c>
      <c r="AG520" s="306">
        <f t="shared" ca="1" si="259"/>
        <v>-6.932181040577519</v>
      </c>
      <c r="AH520" s="304">
        <f t="shared" ca="1" si="260"/>
        <v>-0.55753717031046868</v>
      </c>
    </row>
    <row r="521" spans="1:34" x14ac:dyDescent="0.2">
      <c r="A521" s="347">
        <f t="shared" ca="1" si="238"/>
        <v>0.1</v>
      </c>
      <c r="B521" s="304">
        <f t="shared" ca="1" si="239"/>
        <v>15.699999999999918</v>
      </c>
      <c r="D521" s="306">
        <f t="shared" ca="1" si="240"/>
        <v>-0.41308147342668683</v>
      </c>
      <c r="E521" s="307">
        <f t="shared" ca="1" si="241"/>
        <v>-10.145004070677109</v>
      </c>
      <c r="F521" s="304">
        <f t="shared" ca="1" si="242"/>
        <v>10.153410456479314</v>
      </c>
      <c r="G521" s="306">
        <f t="shared" ca="1" si="243"/>
        <v>22.295610558383313</v>
      </c>
      <c r="H521" s="307">
        <f t="shared" ca="1" si="244"/>
        <v>17.100470062867718</v>
      </c>
      <c r="I521" s="304">
        <f t="shared" ca="1" si="245"/>
        <v>28.098404341565882</v>
      </c>
      <c r="J521" s="306">
        <f t="shared" ca="1" si="246"/>
        <v>544.5437893471842</v>
      </c>
      <c r="K521" s="307">
        <f t="shared" ca="1" si="247"/>
        <v>2127.7549114959402</v>
      </c>
      <c r="L521" s="304">
        <f t="shared" ca="1" si="232"/>
        <v>2196.3307815335302</v>
      </c>
      <c r="M521" s="306">
        <f t="shared" ca="1" si="248"/>
        <v>0.65428519406808205</v>
      </c>
      <c r="N521" s="304">
        <f t="shared" ca="1" si="249"/>
        <v>37.487780217999109</v>
      </c>
      <c r="P521" s="310">
        <f t="shared" ca="1" si="250"/>
        <v>23</v>
      </c>
      <c r="Q521" s="304">
        <f t="shared" ca="1" si="251"/>
        <v>0</v>
      </c>
      <c r="R521" s="306">
        <f t="shared" ca="1" si="252"/>
        <v>0</v>
      </c>
      <c r="S521" s="307">
        <f t="shared" ca="1" si="253"/>
        <v>4.9929999999999914</v>
      </c>
      <c r="T521" s="304">
        <f t="shared" ca="1" si="233"/>
        <v>48.981329999999922</v>
      </c>
      <c r="U521" s="311">
        <f t="shared" ca="1" si="234"/>
        <v>0</v>
      </c>
      <c r="V521" s="306">
        <f t="shared" ca="1" si="235"/>
        <v>0.98941353612169824</v>
      </c>
      <c r="W521" s="304">
        <f t="shared" ca="1" si="236"/>
        <v>2.5344491500954054</v>
      </c>
      <c r="Y521" s="314" t="str">
        <f t="shared" ca="1" si="254"/>
        <v/>
      </c>
      <c r="Z521" s="315" t="str">
        <f t="shared" ca="1" si="255"/>
        <v/>
      </c>
      <c r="AA521" s="316" t="str">
        <f t="shared" ca="1" si="256"/>
        <v/>
      </c>
      <c r="AC521" s="310" t="e">
        <f t="shared" ca="1" si="257"/>
        <v>#N/A</v>
      </c>
      <c r="AD521" s="323" t="e">
        <f t="shared" ca="1" si="258"/>
        <v>#N/A</v>
      </c>
      <c r="AE521" s="324">
        <f t="shared" ca="1" si="237"/>
        <v>2127.7549114959402</v>
      </c>
      <c r="AG521" s="306">
        <f t="shared" ca="1" si="259"/>
        <v>-6.7110208405684268</v>
      </c>
      <c r="AH521" s="304">
        <f t="shared" ca="1" si="260"/>
        <v>-0.53184963200005653</v>
      </c>
    </row>
    <row r="522" spans="1:34" x14ac:dyDescent="0.2">
      <c r="A522" s="347">
        <f t="shared" ca="1" si="238"/>
        <v>0.1</v>
      </c>
      <c r="B522" s="304">
        <f t="shared" ca="1" si="239"/>
        <v>15.799999999999917</v>
      </c>
      <c r="D522" s="306">
        <f t="shared" ca="1" si="240"/>
        <v>-0.4027724235125999</v>
      </c>
      <c r="E522" s="307">
        <f t="shared" ca="1" si="241"/>
        <v>-10.118921693460246</v>
      </c>
      <c r="F522" s="304">
        <f t="shared" ca="1" si="242"/>
        <v>10.126934475127337</v>
      </c>
      <c r="G522" s="306">
        <f t="shared" ca="1" si="243"/>
        <v>22.255333316032054</v>
      </c>
      <c r="H522" s="307">
        <f t="shared" ca="1" si="244"/>
        <v>16.088577893521695</v>
      </c>
      <c r="I522" s="304">
        <f t="shared" ca="1" si="245"/>
        <v>27.461649616212085</v>
      </c>
      <c r="J522" s="306">
        <f t="shared" ca="1" si="246"/>
        <v>546.77133654090494</v>
      </c>
      <c r="K522" s="307">
        <f t="shared" ca="1" si="247"/>
        <v>2129.4143638937599</v>
      </c>
      <c r="L522" s="304">
        <f t="shared" ca="1" si="232"/>
        <v>2198.491398122766</v>
      </c>
      <c r="M522" s="306">
        <f t="shared" ca="1" si="248"/>
        <v>0.62593615967926508</v>
      </c>
      <c r="N522" s="304">
        <f t="shared" ca="1" si="249"/>
        <v>35.863500194248658</v>
      </c>
      <c r="P522" s="310">
        <f t="shared" ca="1" si="250"/>
        <v>23</v>
      </c>
      <c r="Q522" s="304">
        <f t="shared" ca="1" si="251"/>
        <v>0</v>
      </c>
      <c r="R522" s="306">
        <f t="shared" ca="1" si="252"/>
        <v>0</v>
      </c>
      <c r="S522" s="307">
        <f t="shared" ca="1" si="253"/>
        <v>4.9929999999999914</v>
      </c>
      <c r="T522" s="304">
        <f t="shared" ca="1" si="233"/>
        <v>48.981329999999922</v>
      </c>
      <c r="U522" s="311">
        <f t="shared" ca="1" si="234"/>
        <v>0</v>
      </c>
      <c r="V522" s="306">
        <f t="shared" ca="1" si="235"/>
        <v>0.98924748049131161</v>
      </c>
      <c r="W522" s="304">
        <f t="shared" ca="1" si="236"/>
        <v>2.4204750768006282</v>
      </c>
      <c r="Y522" s="314" t="str">
        <f t="shared" ca="1" si="254"/>
        <v/>
      </c>
      <c r="Z522" s="315" t="str">
        <f t="shared" ca="1" si="255"/>
        <v/>
      </c>
      <c r="AA522" s="316" t="str">
        <f t="shared" ca="1" si="256"/>
        <v/>
      </c>
      <c r="AC522" s="310" t="e">
        <f t="shared" ca="1" si="257"/>
        <v>#N/A</v>
      </c>
      <c r="AD522" s="323" t="e">
        <f t="shared" ca="1" si="258"/>
        <v>#N/A</v>
      </c>
      <c r="AE522" s="324">
        <f t="shared" ca="1" si="237"/>
        <v>2129.4143638937599</v>
      </c>
      <c r="AG522" s="306">
        <f t="shared" ca="1" si="259"/>
        <v>-6.477890074225801</v>
      </c>
      <c r="AH522" s="304">
        <f t="shared" ca="1" si="260"/>
        <v>-0.50760047067803116</v>
      </c>
    </row>
    <row r="523" spans="1:34" x14ac:dyDescent="0.2">
      <c r="A523" s="347">
        <f t="shared" ca="1" si="238"/>
        <v>0.1</v>
      </c>
      <c r="B523" s="304">
        <f t="shared" ca="1" si="239"/>
        <v>15.899999999999917</v>
      </c>
      <c r="D523" s="306">
        <f t="shared" ca="1" si="240"/>
        <v>-0.3928678864739939</v>
      </c>
      <c r="E523" s="307">
        <f t="shared" ca="1" si="241"/>
        <v>-10.094007680480205</v>
      </c>
      <c r="F523" s="304">
        <f t="shared" ca="1" si="242"/>
        <v>10.101650173601138</v>
      </c>
      <c r="G523" s="306">
        <f t="shared" ca="1" si="243"/>
        <v>22.216046527384655</v>
      </c>
      <c r="H523" s="307">
        <f t="shared" ca="1" si="244"/>
        <v>15.079177125473674</v>
      </c>
      <c r="I523" s="304">
        <f t="shared" ca="1" si="245"/>
        <v>26.850219851768966</v>
      </c>
      <c r="J523" s="306">
        <f t="shared" ca="1" si="246"/>
        <v>548.99490553307578</v>
      </c>
      <c r="K523" s="307">
        <f t="shared" ca="1" si="247"/>
        <v>2130.9727516447097</v>
      </c>
      <c r="L523" s="304">
        <f t="shared" ca="1" si="232"/>
        <v>2200.5545379638961</v>
      </c>
      <c r="M523" s="306">
        <f t="shared" ca="1" si="248"/>
        <v>0.59632249723815234</v>
      </c>
      <c r="N523" s="304">
        <f t="shared" ca="1" si="249"/>
        <v>34.166762320447816</v>
      </c>
      <c r="P523" s="310">
        <f t="shared" ca="1" si="250"/>
        <v>23</v>
      </c>
      <c r="Q523" s="304">
        <f t="shared" ca="1" si="251"/>
        <v>0</v>
      </c>
      <c r="R523" s="306">
        <f t="shared" ca="1" si="252"/>
        <v>0</v>
      </c>
      <c r="S523" s="307">
        <f t="shared" ca="1" si="253"/>
        <v>4.9929999999999914</v>
      </c>
      <c r="T523" s="304">
        <f t="shared" ca="1" si="233"/>
        <v>48.981329999999922</v>
      </c>
      <c r="U523" s="311">
        <f t="shared" ca="1" si="234"/>
        <v>0</v>
      </c>
      <c r="V523" s="306">
        <f t="shared" ca="1" si="235"/>
        <v>0.9890915607226739</v>
      </c>
      <c r="W523" s="304">
        <f t="shared" ca="1" si="236"/>
        <v>2.3135271873480376</v>
      </c>
      <c r="Y523" s="314" t="str">
        <f t="shared" ca="1" si="254"/>
        <v/>
      </c>
      <c r="Z523" s="315" t="str">
        <f t="shared" ca="1" si="255"/>
        <v/>
      </c>
      <c r="AA523" s="316" t="str">
        <f t="shared" ca="1" si="256"/>
        <v/>
      </c>
      <c r="AC523" s="310" t="e">
        <f t="shared" ca="1" si="257"/>
        <v>#N/A</v>
      </c>
      <c r="AD523" s="323" t="e">
        <f t="shared" ca="1" si="258"/>
        <v>#N/A</v>
      </c>
      <c r="AE523" s="324">
        <f t="shared" ca="1" si="237"/>
        <v>2130.9727516447097</v>
      </c>
      <c r="AG523" s="306">
        <f t="shared" ca="1" si="259"/>
        <v>-6.2320230932821206</v>
      </c>
      <c r="AH523" s="304">
        <f t="shared" ca="1" si="260"/>
        <v>-0.48477369853807978</v>
      </c>
    </row>
    <row r="524" spans="1:34" x14ac:dyDescent="0.2">
      <c r="A524" s="347">
        <f t="shared" ca="1" si="238"/>
        <v>0.1</v>
      </c>
      <c r="B524" s="304">
        <f t="shared" ca="1" si="239"/>
        <v>15.999999999999917</v>
      </c>
      <c r="D524" s="306">
        <f t="shared" ca="1" si="240"/>
        <v>-0.38338222330782162</v>
      </c>
      <c r="E524" s="307">
        <f t="shared" ca="1" si="241"/>
        <v>-10.070221297470299</v>
      </c>
      <c r="F524" s="304">
        <f t="shared" ca="1" si="242"/>
        <v>10.077516505031031</v>
      </c>
      <c r="G524" s="306">
        <f t="shared" ca="1" si="243"/>
        <v>22.177708305053873</v>
      </c>
      <c r="H524" s="307">
        <f t="shared" ca="1" si="244"/>
        <v>14.072154995726644</v>
      </c>
      <c r="I524" s="304">
        <f t="shared" ca="1" si="245"/>
        <v>26.265496223901994</v>
      </c>
      <c r="J524" s="306">
        <f t="shared" ca="1" si="246"/>
        <v>551.21459327469768</v>
      </c>
      <c r="K524" s="307">
        <f t="shared" ca="1" si="247"/>
        <v>2132.4303182507697</v>
      </c>
      <c r="L524" s="304">
        <f t="shared" ca="1" si="232"/>
        <v>2202.5205084253062</v>
      </c>
      <c r="M524" s="306">
        <f t="shared" ca="1" si="248"/>
        <v>0.56541445642571164</v>
      </c>
      <c r="N524" s="304">
        <f t="shared" ca="1" si="249"/>
        <v>32.39586202887687</v>
      </c>
      <c r="P524" s="310">
        <f t="shared" ca="1" si="250"/>
        <v>23</v>
      </c>
      <c r="Q524" s="304">
        <f t="shared" ca="1" si="251"/>
        <v>0</v>
      </c>
      <c r="R524" s="306">
        <f t="shared" ca="1" si="252"/>
        <v>0</v>
      </c>
      <c r="S524" s="307">
        <f t="shared" ca="1" si="253"/>
        <v>4.9929999999999914</v>
      </c>
      <c r="T524" s="304">
        <f t="shared" ca="1" si="233"/>
        <v>48.981329999999922</v>
      </c>
      <c r="U524" s="311">
        <f t="shared" ca="1" si="234"/>
        <v>0</v>
      </c>
      <c r="V524" s="306">
        <f t="shared" ca="1" si="235"/>
        <v>0.98894574818083991</v>
      </c>
      <c r="W524" s="304">
        <f t="shared" ca="1" si="236"/>
        <v>2.2135335401718472</v>
      </c>
      <c r="Y524" s="314" t="str">
        <f t="shared" ca="1" si="254"/>
        <v/>
      </c>
      <c r="Z524" s="315" t="str">
        <f t="shared" ca="1" si="255"/>
        <v/>
      </c>
      <c r="AA524" s="316" t="str">
        <f t="shared" ca="1" si="256"/>
        <v/>
      </c>
      <c r="AC524" s="310">
        <f t="shared" ca="1" si="257"/>
        <v>15.999999999999917</v>
      </c>
      <c r="AD524" s="323">
        <f t="shared" ca="1" si="258"/>
        <v>551.21459327469768</v>
      </c>
      <c r="AE524" s="324">
        <f t="shared" ca="1" si="237"/>
        <v>2132.4303182507697</v>
      </c>
      <c r="AG524" s="306">
        <f t="shared" ca="1" si="259"/>
        <v>-5.9726843516882866</v>
      </c>
      <c r="AH524" s="304">
        <f t="shared" ca="1" si="260"/>
        <v>-0.46335413325616698</v>
      </c>
    </row>
    <row r="525" spans="1:34" x14ac:dyDescent="0.2">
      <c r="A525" s="347">
        <f t="shared" ca="1" si="238"/>
        <v>0.1</v>
      </c>
      <c r="B525" s="304">
        <f t="shared" ca="1" si="239"/>
        <v>16.099999999999916</v>
      </c>
      <c r="D525" s="306">
        <f t="shared" ca="1" si="240"/>
        <v>-0.37433083048131999</v>
      </c>
      <c r="E525" s="307">
        <f t="shared" ca="1" si="241"/>
        <v>-10.047519647826364</v>
      </c>
      <c r="F525" s="304">
        <f t="shared" ca="1" si="242"/>
        <v>10.05449027271426</v>
      </c>
      <c r="G525" s="306">
        <f t="shared" ca="1" si="243"/>
        <v>22.140275222005741</v>
      </c>
      <c r="H525" s="307">
        <f t="shared" ca="1" si="244"/>
        <v>13.067403030944007</v>
      </c>
      <c r="I525" s="304">
        <f t="shared" ca="1" si="245"/>
        <v>25.708924693173884</v>
      </c>
      <c r="J525" s="306">
        <f t="shared" ca="1" si="246"/>
        <v>553.43049245105067</v>
      </c>
      <c r="K525" s="307">
        <f t="shared" ca="1" si="247"/>
        <v>2133.7872961521034</v>
      </c>
      <c r="L525" s="304">
        <f t="shared" ca="1" si="232"/>
        <v>2204.3896060349034</v>
      </c>
      <c r="M525" s="306">
        <f t="shared" ca="1" si="248"/>
        <v>0.53318957561255276</v>
      </c>
      <c r="N525" s="304">
        <f t="shared" ca="1" si="249"/>
        <v>30.549512362970759</v>
      </c>
      <c r="P525" s="310">
        <f t="shared" ca="1" si="250"/>
        <v>23</v>
      </c>
      <c r="Q525" s="304">
        <f t="shared" ca="1" si="251"/>
        <v>0</v>
      </c>
      <c r="R525" s="306">
        <f t="shared" ca="1" si="252"/>
        <v>0</v>
      </c>
      <c r="S525" s="307">
        <f t="shared" ca="1" si="253"/>
        <v>4.9929999999999914</v>
      </c>
      <c r="T525" s="304">
        <f t="shared" ca="1" si="233"/>
        <v>48.981329999999922</v>
      </c>
      <c r="U525" s="311">
        <f t="shared" ca="1" si="234"/>
        <v>0</v>
      </c>
      <c r="V525" s="306">
        <f t="shared" ca="1" si="235"/>
        <v>0.98881001562794069</v>
      </c>
      <c r="W525" s="304">
        <f t="shared" ca="1" si="236"/>
        <v>2.1204258983424165</v>
      </c>
      <c r="Y525" s="314" t="str">
        <f t="shared" ca="1" si="254"/>
        <v/>
      </c>
      <c r="Z525" s="315" t="str">
        <f t="shared" ca="1" si="255"/>
        <v/>
      </c>
      <c r="AA525" s="316" t="str">
        <f t="shared" ca="1" si="256"/>
        <v/>
      </c>
      <c r="AC525" s="310" t="e">
        <f t="shared" ca="1" si="257"/>
        <v>#N/A</v>
      </c>
      <c r="AD525" s="323" t="e">
        <f t="shared" ca="1" si="258"/>
        <v>#N/A</v>
      </c>
      <c r="AE525" s="324">
        <f t="shared" ca="1" si="237"/>
        <v>2133.7872961521034</v>
      </c>
      <c r="AG525" s="306">
        <f t="shared" ca="1" si="259"/>
        <v>-5.6991900133454436</v>
      </c>
      <c r="AH525" s="304">
        <f t="shared" ca="1" si="260"/>
        <v>-0.44332736634725634</v>
      </c>
    </row>
    <row r="526" spans="1:34" x14ac:dyDescent="0.2">
      <c r="A526" s="347">
        <f t="shared" ca="1" si="238"/>
        <v>0.1</v>
      </c>
      <c r="B526" s="304">
        <f t="shared" ca="1" si="239"/>
        <v>16.199999999999918</v>
      </c>
      <c r="D526" s="306">
        <f t="shared" ca="1" si="240"/>
        <v>-0.36573004294167666</v>
      </c>
      <c r="E526" s="307">
        <f t="shared" ca="1" si="241"/>
        <v>-10.025857383150019</v>
      </c>
      <c r="F526" s="304">
        <f t="shared" ca="1" si="242"/>
        <v>10.032525840065096</v>
      </c>
      <c r="G526" s="306">
        <f t="shared" ca="1" si="243"/>
        <v>22.103702217711572</v>
      </c>
      <c r="H526" s="307">
        <f t="shared" ca="1" si="244"/>
        <v>12.064817292629005</v>
      </c>
      <c r="I526" s="304">
        <f t="shared" ca="1" si="245"/>
        <v>25.182006830945529</v>
      </c>
      <c r="J526" s="306">
        <f t="shared" ca="1" si="246"/>
        <v>555.6426913230365</v>
      </c>
      <c r="K526" s="307">
        <f t="shared" ca="1" si="247"/>
        <v>2135.0439071682822</v>
      </c>
      <c r="L526" s="304">
        <f t="shared" ca="1" si="232"/>
        <v>2206.1621168801516</v>
      </c>
      <c r="M526" s="306">
        <f t="shared" ca="1" si="248"/>
        <v>0.49963441862534935</v>
      </c>
      <c r="N526" s="304">
        <f t="shared" ca="1" si="249"/>
        <v>28.626943486705088</v>
      </c>
      <c r="P526" s="310">
        <f t="shared" ca="1" si="250"/>
        <v>23</v>
      </c>
      <c r="Q526" s="304">
        <f t="shared" ca="1" si="251"/>
        <v>0</v>
      </c>
      <c r="R526" s="306">
        <f t="shared" ca="1" si="252"/>
        <v>0</v>
      </c>
      <c r="S526" s="307">
        <f t="shared" ca="1" si="253"/>
        <v>4.9929999999999914</v>
      </c>
      <c r="T526" s="304">
        <f t="shared" ca="1" si="233"/>
        <v>48.981329999999922</v>
      </c>
      <c r="U526" s="311">
        <f t="shared" ca="1" si="234"/>
        <v>0</v>
      </c>
      <c r="V526" s="306">
        <f t="shared" ca="1" si="235"/>
        <v>0.98868433717593351</v>
      </c>
      <c r="W526" s="304">
        <f t="shared" ca="1" si="236"/>
        <v>2.0341395683815864</v>
      </c>
      <c r="Y526" s="314" t="str">
        <f t="shared" ca="1" si="254"/>
        <v/>
      </c>
      <c r="Z526" s="315" t="str">
        <f t="shared" ca="1" si="255"/>
        <v/>
      </c>
      <c r="AA526" s="316" t="str">
        <f t="shared" ca="1" si="256"/>
        <v/>
      </c>
      <c r="AC526" s="310" t="e">
        <f t="shared" ca="1" si="257"/>
        <v>#N/A</v>
      </c>
      <c r="AD526" s="323" t="e">
        <f t="shared" ca="1" si="258"/>
        <v>#N/A</v>
      </c>
      <c r="AE526" s="324">
        <f t="shared" ca="1" si="237"/>
        <v>2135.0439071682822</v>
      </c>
      <c r="AG526" s="306">
        <f t="shared" ca="1" si="259"/>
        <v>-5.4109335425066334</v>
      </c>
      <c r="AH526" s="304">
        <f t="shared" ca="1" si="260"/>
        <v>-0.42467973129229325</v>
      </c>
    </row>
    <row r="527" spans="1:34" x14ac:dyDescent="0.2">
      <c r="A527" s="347">
        <f t="shared" ca="1" si="238"/>
        <v>0.1</v>
      </c>
      <c r="B527" s="304">
        <f t="shared" ca="1" si="239"/>
        <v>16.299999999999919</v>
      </c>
      <c r="D527" s="306">
        <f t="shared" ca="1" si="240"/>
        <v>-0.35759699901235709</v>
      </c>
      <c r="E527" s="307">
        <f t="shared" ca="1" si="241"/>
        <v>-10.005186417867115</v>
      </c>
      <c r="F527" s="304">
        <f t="shared" ca="1" si="242"/>
        <v>10.011574844647331</v>
      </c>
      <c r="G527" s="306">
        <f t="shared" ca="1" si="243"/>
        <v>22.067942517810337</v>
      </c>
      <c r="H527" s="307">
        <f t="shared" ca="1" si="244"/>
        <v>11.064298650842293</v>
      </c>
      <c r="I527" s="304">
        <f t="shared" ca="1" si="245"/>
        <v>24.686287521707509</v>
      </c>
      <c r="J527" s="306">
        <f t="shared" ca="1" si="246"/>
        <v>557.85127355981263</v>
      </c>
      <c r="K527" s="307">
        <f t="shared" ca="1" si="247"/>
        <v>2136.200362965456</v>
      </c>
      <c r="L527" s="304">
        <f t="shared" ca="1" si="232"/>
        <v>2207.8383170300426</v>
      </c>
      <c r="M527" s="306">
        <f t="shared" ca="1" si="248"/>
        <v>0.46474642345054373</v>
      </c>
      <c r="N527" s="304">
        <f t="shared" ca="1" si="249"/>
        <v>26.628008607515945</v>
      </c>
      <c r="P527" s="310">
        <f t="shared" ca="1" si="250"/>
        <v>23</v>
      </c>
      <c r="Q527" s="304">
        <f t="shared" ca="1" si="251"/>
        <v>0</v>
      </c>
      <c r="R527" s="306">
        <f t="shared" ca="1" si="252"/>
        <v>0</v>
      </c>
      <c r="S527" s="307">
        <f t="shared" ca="1" si="253"/>
        <v>4.9929999999999914</v>
      </c>
      <c r="T527" s="304">
        <f t="shared" ca="1" si="233"/>
        <v>48.981329999999922</v>
      </c>
      <c r="U527" s="311">
        <f t="shared" ca="1" si="234"/>
        <v>0</v>
      </c>
      <c r="V527" s="306">
        <f t="shared" ca="1" si="235"/>
        <v>0.98856868823696165</v>
      </c>
      <c r="W527" s="304">
        <f t="shared" ca="1" si="236"/>
        <v>1.9546132361520996</v>
      </c>
      <c r="Y527" s="314" t="str">
        <f t="shared" ca="1" si="254"/>
        <v/>
      </c>
      <c r="Z527" s="315" t="str">
        <f t="shared" ca="1" si="255"/>
        <v/>
      </c>
      <c r="AA527" s="316" t="str">
        <f t="shared" ca="1" si="256"/>
        <v/>
      </c>
      <c r="AC527" s="310" t="e">
        <f t="shared" ca="1" si="257"/>
        <v>#N/A</v>
      </c>
      <c r="AD527" s="323" t="e">
        <f t="shared" ca="1" si="258"/>
        <v>#N/A</v>
      </c>
      <c r="AE527" s="324">
        <f t="shared" ca="1" si="237"/>
        <v>2136.200362965456</v>
      </c>
      <c r="AG527" s="306">
        <f t="shared" ca="1" si="259"/>
        <v>-5.1074151696410794</v>
      </c>
      <c r="AH527" s="304">
        <f t="shared" ca="1" si="260"/>
        <v>-0.40739827125607647</v>
      </c>
    </row>
    <row r="528" spans="1:34" x14ac:dyDescent="0.2">
      <c r="A528" s="347">
        <f t="shared" ca="1" si="238"/>
        <v>0.1</v>
      </c>
      <c r="B528" s="304">
        <f t="shared" ca="1" si="239"/>
        <v>16.39999999999992</v>
      </c>
      <c r="D528" s="306">
        <f t="shared" ca="1" si="240"/>
        <v>-0.34994946221272799</v>
      </c>
      <c r="E528" s="307">
        <f t="shared" ca="1" si="241"/>
        <v>-9.9854556574315136</v>
      </c>
      <c r="F528" s="304">
        <f t="shared" ca="1" si="242"/>
        <v>9.9915859257994679</v>
      </c>
      <c r="G528" s="306">
        <f t="shared" ca="1" si="243"/>
        <v>22.032947571589066</v>
      </c>
      <c r="H528" s="307">
        <f t="shared" ca="1" si="244"/>
        <v>10.065753085099141</v>
      </c>
      <c r="I528" s="304">
        <f t="shared" ca="1" si="245"/>
        <v>24.22333923848187</v>
      </c>
      <c r="J528" s="306">
        <f t="shared" ca="1" si="246"/>
        <v>560.05631806428255</v>
      </c>
      <c r="K528" s="307">
        <f t="shared" ca="1" si="247"/>
        <v>2137.2568655522532</v>
      </c>
      <c r="L528" s="304">
        <f t="shared" ca="1" si="232"/>
        <v>2209.4184729819663</v>
      </c>
      <c r="M528" s="306">
        <f t="shared" ca="1" si="248"/>
        <v>0.42853580270938235</v>
      </c>
      <c r="N528" s="304">
        <f t="shared" ca="1" si="249"/>
        <v>24.553292865498516</v>
      </c>
      <c r="P528" s="310">
        <f t="shared" ca="1" si="250"/>
        <v>23</v>
      </c>
      <c r="Q528" s="304">
        <f t="shared" ca="1" si="251"/>
        <v>0</v>
      </c>
      <c r="R528" s="306">
        <f t="shared" ca="1" si="252"/>
        <v>0</v>
      </c>
      <c r="S528" s="307">
        <f t="shared" ca="1" si="253"/>
        <v>4.9929999999999914</v>
      </c>
      <c r="T528" s="304">
        <f t="shared" ca="1" si="233"/>
        <v>48.981329999999922</v>
      </c>
      <c r="U528" s="311">
        <f t="shared" ca="1" si="234"/>
        <v>0</v>
      </c>
      <c r="V528" s="306">
        <f t="shared" ca="1" si="235"/>
        <v>0.98846304547104125</v>
      </c>
      <c r="W528" s="304">
        <f t="shared" ca="1" si="236"/>
        <v>1.8817887989712505</v>
      </c>
      <c r="Y528" s="314" t="str">
        <f t="shared" ca="1" si="254"/>
        <v/>
      </c>
      <c r="Z528" s="315" t="str">
        <f t="shared" ca="1" si="255"/>
        <v>Para</v>
      </c>
      <c r="AA528" s="316" t="str">
        <f t="shared" ca="1" si="256"/>
        <v/>
      </c>
      <c r="AC528" s="310" t="e">
        <f t="shared" ca="1" si="257"/>
        <v>#N/A</v>
      </c>
      <c r="AD528" s="323" t="e">
        <f t="shared" ca="1" si="258"/>
        <v>#N/A</v>
      </c>
      <c r="AE528" s="324">
        <f t="shared" ca="1" si="237"/>
        <v>2137.2568655522532</v>
      </c>
      <c r="AG528" s="306">
        <f t="shared" ca="1" si="259"/>
        <v>-4.788274789024987</v>
      </c>
      <c r="AH528" s="304">
        <f t="shared" ca="1" si="260"/>
        <v>-0.39147070621912738</v>
      </c>
    </row>
    <row r="529" spans="1:34" x14ac:dyDescent="0.2">
      <c r="A529" s="347">
        <f t="shared" ca="1" si="238"/>
        <v>0.1</v>
      </c>
      <c r="B529" s="304">
        <f t="shared" ca="1" si="239"/>
        <v>16.499999999999922</v>
      </c>
      <c r="D529" s="306">
        <f t="shared" ca="1" si="240"/>
        <v>-0.34280559598727278</v>
      </c>
      <c r="E529" s="307">
        <f t="shared" ca="1" si="241"/>
        <v>-9.966610751883584</v>
      </c>
      <c r="F529" s="304">
        <f t="shared" ca="1" si="242"/>
        <v>9.9725044776225431</v>
      </c>
      <c r="G529" s="306">
        <f t="shared" ca="1" si="243"/>
        <v>21.998667011990339</v>
      </c>
      <c r="H529" s="307">
        <f t="shared" ca="1" si="244"/>
        <v>9.0690920099107828</v>
      </c>
      <c r="I529" s="304">
        <f t="shared" ca="1" si="245"/>
        <v>23.794742700618965</v>
      </c>
      <c r="J529" s="306">
        <f t="shared" ca="1" si="246"/>
        <v>562.25789879346155</v>
      </c>
      <c r="K529" s="307">
        <f t="shared" ca="1" si="247"/>
        <v>2138.2136078070039</v>
      </c>
      <c r="L529" s="304">
        <f t="shared" ca="1" si="232"/>
        <v>2210.9028421363705</v>
      </c>
      <c r="M529" s="306">
        <f t="shared" ca="1" si="248"/>
        <v>0.39102741278373176</v>
      </c>
      <c r="N529" s="304">
        <f t="shared" ca="1" si="249"/>
        <v>22.404220426427724</v>
      </c>
      <c r="P529" s="310">
        <f t="shared" ca="1" si="250"/>
        <v>23</v>
      </c>
      <c r="Q529" s="304">
        <f t="shared" ca="1" si="251"/>
        <v>0</v>
      </c>
      <c r="R529" s="306">
        <f t="shared" ca="1" si="252"/>
        <v>0</v>
      </c>
      <c r="S529" s="307">
        <f t="shared" ca="1" si="253"/>
        <v>4.9929999999999914</v>
      </c>
      <c r="T529" s="304">
        <f t="shared" ca="1" si="233"/>
        <v>48.981329999999922</v>
      </c>
      <c r="U529" s="311">
        <f t="shared" ca="1" si="234"/>
        <v>0</v>
      </c>
      <c r="V529" s="306">
        <f t="shared" ca="1" si="235"/>
        <v>0.98836738673079905</v>
      </c>
      <c r="W529" s="304">
        <f t="shared" ca="1" si="236"/>
        <v>1.8156111931586572</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-4.4533274122676296</v>
      </c>
      <c r="AH529" s="304">
        <f t="shared" ca="1" si="260"/>
        <v>-0.37688539935334542</v>
      </c>
    </row>
    <row r="530" spans="1:34" x14ac:dyDescent="0.2">
      <c r="A530" s="347">
        <f t="shared" ca="1" si="238"/>
        <v>0.1</v>
      </c>
      <c r="B530" s="304">
        <f t="shared" ca="1" si="239"/>
        <v>16.599999999999923</v>
      </c>
      <c r="D530" s="306">
        <f t="shared" ca="1" si="240"/>
        <v>-0.33618368893855255</v>
      </c>
      <c r="E530" s="307">
        <f t="shared" ca="1" si="241"/>
        <v>-9.9485938886912191</v>
      </c>
      <c r="F530" s="304">
        <f t="shared" ca="1" si="242"/>
        <v>9.9542724412592101</v>
      </c>
      <c r="G530" s="306">
        <f t="shared" ca="1" si="243"/>
        <v>21.965048643096484</v>
      </c>
      <c r="H530" s="307">
        <f t="shared" ca="1" si="244"/>
        <v>8.0742326210416611</v>
      </c>
      <c r="I530" s="304">
        <f t="shared" ca="1" si="245"/>
        <v>23.402063890013803</v>
      </c>
      <c r="J530" s="306">
        <f t="shared" ca="1" si="246"/>
        <v>564.45608457621586</v>
      </c>
      <c r="K530" s="307">
        <f t="shared" ca="1" si="247"/>
        <v>2139.0707740385515</v>
      </c>
      <c r="L530" s="304">
        <f t="shared" ca="1" si="232"/>
        <v>2212.2916733019179</v>
      </c>
      <c r="M530" s="306">
        <f t="shared" ca="1" si="248"/>
        <v>0.35226248532772458</v>
      </c>
      <c r="N530" s="304">
        <f t="shared" ca="1" si="249"/>
        <v>20.183153690067705</v>
      </c>
      <c r="P530" s="310">
        <f t="shared" ca="1" si="250"/>
        <v>23</v>
      </c>
      <c r="Q530" s="304">
        <f t="shared" ca="1" si="251"/>
        <v>0</v>
      </c>
      <c r="R530" s="306">
        <f t="shared" ca="1" si="252"/>
        <v>0</v>
      </c>
      <c r="S530" s="307">
        <f t="shared" ca="1" si="253"/>
        <v>4.9929999999999914</v>
      </c>
      <c r="T530" s="304">
        <f t="shared" ca="1" si="233"/>
        <v>48.981329999999922</v>
      </c>
      <c r="U530" s="311">
        <f t="shared" ca="1" si="234"/>
        <v>0</v>
      </c>
      <c r="V530" s="306">
        <f t="shared" ca="1" si="235"/>
        <v>0.98828169100303886</v>
      </c>
      <c r="W530" s="304">
        <f t="shared" ca="1" si="236"/>
        <v>1.7560282163200518</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-4.1025997886104131</v>
      </c>
      <c r="AH530" s="304">
        <f t="shared" ca="1" si="260"/>
        <v>-0.36363132248320856</v>
      </c>
    </row>
    <row r="531" spans="1:34" x14ac:dyDescent="0.2">
      <c r="A531" s="347">
        <f t="shared" ca="1" si="238"/>
        <v>0.1</v>
      </c>
      <c r="B531" s="304">
        <f t="shared" ca="1" si="239"/>
        <v>16.699999999999925</v>
      </c>
      <c r="D531" s="306">
        <f t="shared" ca="1" si="240"/>
        <v>-0.33010183050988845</v>
      </c>
      <c r="E531" s="307">
        <f t="shared" ca="1" si="241"/>
        <v>-9.9313436405935853</v>
      </c>
      <c r="F531" s="304">
        <f t="shared" ca="1" si="242"/>
        <v>9.9368281521854165</v>
      </c>
      <c r="G531" s="306">
        <f t="shared" ca="1" si="243"/>
        <v>21.932038460045494</v>
      </c>
      <c r="H531" s="307">
        <f t="shared" ca="1" si="244"/>
        <v>7.0810982569823029</v>
      </c>
      <c r="I531" s="304">
        <f t="shared" ca="1" si="245"/>
        <v>23.046827624164514</v>
      </c>
      <c r="J531" s="306">
        <f t="shared" ca="1" si="246"/>
        <v>566.65093893137293</v>
      </c>
      <c r="K531" s="307">
        <f t="shared" ca="1" si="247"/>
        <v>2139.8285405824527</v>
      </c>
      <c r="L531" s="304">
        <f t="shared" ca="1" si="232"/>
        <v>2213.5852072335133</v>
      </c>
      <c r="M531" s="306">
        <f t="shared" ca="1" si="248"/>
        <v>0.31230009450073354</v>
      </c>
      <c r="N531" s="304">
        <f t="shared" ca="1" si="249"/>
        <v>17.893477356428804</v>
      </c>
      <c r="P531" s="310">
        <f t="shared" ca="1" si="250"/>
        <v>23</v>
      </c>
      <c r="Q531" s="304">
        <f t="shared" ca="1" si="251"/>
        <v>0</v>
      </c>
      <c r="R531" s="306">
        <f t="shared" ca="1" si="252"/>
        <v>0</v>
      </c>
      <c r="S531" s="307">
        <f t="shared" ca="1" si="253"/>
        <v>4.9929999999999914</v>
      </c>
      <c r="T531" s="304">
        <f t="shared" ca="1" si="233"/>
        <v>48.981329999999922</v>
      </c>
      <c r="U531" s="311">
        <f t="shared" ca="1" si="234"/>
        <v>0</v>
      </c>
      <c r="V531" s="306">
        <f t="shared" ca="1" si="235"/>
        <v>0.98820593834693315</v>
      </c>
      <c r="W531" s="304">
        <f t="shared" ca="1" si="236"/>
        <v>1.7029903437978455</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-3.7363662439744201</v>
      </c>
      <c r="AH531" s="304">
        <f t="shared" ca="1" si="260"/>
        <v>-0.35169802049270077</v>
      </c>
    </row>
    <row r="532" spans="1:34" x14ac:dyDescent="0.2">
      <c r="A532" s="347">
        <f t="shared" ca="1" si="238"/>
        <v>0.1</v>
      </c>
      <c r="B532" s="304">
        <f t="shared" ca="1" si="239"/>
        <v>16.799999999999926</v>
      </c>
      <c r="D532" s="306">
        <f t="shared" ca="1" si="240"/>
        <v>-0.32457754017631518</v>
      </c>
      <c r="E532" s="307">
        <f t="shared" ca="1" si="241"/>
        <v>-9.9147948852627241</v>
      </c>
      <c r="F532" s="304">
        <f t="shared" ca="1" si="242"/>
        <v>9.9201062593310354</v>
      </c>
      <c r="G532" s="306">
        <f t="shared" ca="1" si="243"/>
        <v>21.899580706027862</v>
      </c>
      <c r="H532" s="307">
        <f t="shared" ca="1" si="244"/>
        <v>6.0896187684560301</v>
      </c>
      <c r="I532" s="304">
        <f t="shared" ca="1" si="245"/>
        <v>22.730488156767766</v>
      </c>
      <c r="J532" s="306">
        <f t="shared" ca="1" si="246"/>
        <v>568.84251988967662</v>
      </c>
      <c r="K532" s="307">
        <f t="shared" ca="1" si="247"/>
        <v>2140.4870764337247</v>
      </c>
      <c r="L532" s="304">
        <f t="shared" ca="1" si="232"/>
        <v>2214.7836772051196</v>
      </c>
      <c r="M532" s="306">
        <f t="shared" ca="1" si="248"/>
        <v>0.27121821938260765</v>
      </c>
      <c r="N532" s="304">
        <f t="shared" ca="1" si="249"/>
        <v>15.539659297676678</v>
      </c>
      <c r="P532" s="310">
        <f t="shared" ca="1" si="250"/>
        <v>23</v>
      </c>
      <c r="Q532" s="304">
        <f t="shared" ca="1" si="251"/>
        <v>0</v>
      </c>
      <c r="R532" s="306">
        <f t="shared" ca="1" si="252"/>
        <v>0</v>
      </c>
      <c r="S532" s="307">
        <f t="shared" ca="1" si="253"/>
        <v>4.9929999999999914</v>
      </c>
      <c r="T532" s="304">
        <f t="shared" ca="1" si="233"/>
        <v>48.981329999999922</v>
      </c>
      <c r="U532" s="311">
        <f t="shared" ca="1" si="234"/>
        <v>0</v>
      </c>
      <c r="V532" s="306">
        <f t="shared" ca="1" si="235"/>
        <v>0.98814010982872502</v>
      </c>
      <c r="W532" s="304">
        <f t="shared" ca="1" si="236"/>
        <v>1.6564505388887776</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-3.3551812481865619</v>
      </c>
      <c r="AH532" s="304">
        <f t="shared" ca="1" si="260"/>
        <v>-0.34107557456395921</v>
      </c>
    </row>
    <row r="533" spans="1:34" x14ac:dyDescent="0.2">
      <c r="A533" s="347">
        <f t="shared" ca="1" si="238"/>
        <v>0.1</v>
      </c>
      <c r="B533" s="304">
        <f t="shared" ca="1" si="239"/>
        <v>16.899999999999928</v>
      </c>
      <c r="D533" s="306">
        <f t="shared" ca="1" si="240"/>
        <v>-0.31962735698740757</v>
      </c>
      <c r="E533" s="307">
        <f t="shared" ca="1" si="241"/>
        <v>-9.8988788136243535</v>
      </c>
      <c r="F533" s="304">
        <f t="shared" ca="1" si="242"/>
        <v>9.904037732872176</v>
      </c>
      <c r="G533" s="306">
        <f t="shared" ca="1" si="243"/>
        <v>21.867617970329121</v>
      </c>
      <c r="H533" s="307">
        <f t="shared" ca="1" si="244"/>
        <v>5.0997308870935942</v>
      </c>
      <c r="I533" s="304">
        <f t="shared" ca="1" si="245"/>
        <v>22.454397583035657</v>
      </c>
      <c r="J533" s="306">
        <f t="shared" ca="1" si="246"/>
        <v>571.0308798234945</v>
      </c>
      <c r="K533" s="307">
        <f t="shared" ca="1" si="247"/>
        <v>2141.0465439165023</v>
      </c>
      <c r="L533" s="304">
        <f t="shared" ca="1" si="232"/>
        <v>2215.887309618608</v>
      </c>
      <c r="M533" s="306">
        <f t="shared" ca="1" si="248"/>
        <v>0.22911425792287343</v>
      </c>
      <c r="N533" s="304">
        <f t="shared" ca="1" si="249"/>
        <v>13.12728000525243</v>
      </c>
      <c r="P533" s="310">
        <f t="shared" ca="1" si="250"/>
        <v>23</v>
      </c>
      <c r="Q533" s="304">
        <f t="shared" ca="1" si="251"/>
        <v>0</v>
      </c>
      <c r="R533" s="306">
        <f t="shared" ca="1" si="252"/>
        <v>0</v>
      </c>
      <c r="S533" s="307">
        <f t="shared" ca="1" si="253"/>
        <v>4.9929999999999914</v>
      </c>
      <c r="T533" s="304">
        <f t="shared" ca="1" si="233"/>
        <v>48.981329999999922</v>
      </c>
      <c r="U533" s="311">
        <f t="shared" ca="1" si="234"/>
        <v>0</v>
      </c>
      <c r="V533" s="306">
        <f t="shared" ca="1" si="235"/>
        <v>0.98808418745288695</v>
      </c>
      <c r="W533" s="304">
        <f t="shared" ca="1" si="236"/>
        <v>1.6163640566400943</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-2.9599057814465275</v>
      </c>
      <c r="AH533" s="304">
        <f t="shared" ca="1" si="260"/>
        <v>-0.33175456416759069</v>
      </c>
    </row>
    <row r="534" spans="1:34" x14ac:dyDescent="0.2">
      <c r="A534" s="347">
        <f t="shared" ca="1" si="238"/>
        <v>0.1</v>
      </c>
      <c r="B534" s="304">
        <f t="shared" ca="1" si="239"/>
        <v>16.999999999999929</v>
      </c>
      <c r="D534" s="306">
        <f t="shared" ca="1" si="240"/>
        <v>-0.31526640053825639</v>
      </c>
      <c r="E534" s="307">
        <f t="shared" ca="1" si="241"/>
        <v>-9.8835230422750779</v>
      </c>
      <c r="F534" s="304">
        <f t="shared" ca="1" si="242"/>
        <v>9.8885499761335467</v>
      </c>
      <c r="G534" s="306">
        <f t="shared" ca="1" si="243"/>
        <v>21.836091330275295</v>
      </c>
      <c r="H534" s="307">
        <f t="shared" ca="1" si="244"/>
        <v>4.1113785828660863</v>
      </c>
      <c r="I534" s="304">
        <f t="shared" ca="1" si="245"/>
        <v>22.219773140961045</v>
      </c>
      <c r="J534" s="306">
        <f t="shared" ca="1" si="246"/>
        <v>573.21606528852476</v>
      </c>
      <c r="K534" s="307">
        <f t="shared" ca="1" si="247"/>
        <v>2141.5070993900003</v>
      </c>
      <c r="L534" s="304">
        <f t="shared" ca="1" si="232"/>
        <v>2216.8963246490871</v>
      </c>
      <c r="M534" s="306">
        <f t="shared" ca="1" si="248"/>
        <v>0.18610486043205493</v>
      </c>
      <c r="N534" s="304">
        <f t="shared" ca="1" si="249"/>
        <v>10.663023049627977</v>
      </c>
      <c r="P534" s="310">
        <f t="shared" ca="1" si="250"/>
        <v>23</v>
      </c>
      <c r="Q534" s="304">
        <f t="shared" ca="1" si="251"/>
        <v>0</v>
      </c>
      <c r="R534" s="306">
        <f t="shared" ca="1" si="252"/>
        <v>0</v>
      </c>
      <c r="S534" s="307">
        <f t="shared" ca="1" si="253"/>
        <v>4.9929999999999914</v>
      </c>
      <c r="T534" s="304">
        <f t="shared" ca="1" si="233"/>
        <v>48.981329999999922</v>
      </c>
      <c r="U534" s="311">
        <f t="shared" ca="1" si="234"/>
        <v>0</v>
      </c>
      <c r="V534" s="306">
        <f t="shared" ca="1" si="235"/>
        <v>0.98803815408978879</v>
      </c>
      <c r="W534" s="304">
        <f t="shared" ca="1" si="236"/>
        <v>1.582688241286621</v>
      </c>
      <c r="Y534" s="314" t="str">
        <f t="shared" ca="1" si="254"/>
        <v/>
      </c>
      <c r="Z534" s="315" t="str">
        <f t="shared" ca="1" si="255"/>
        <v/>
      </c>
      <c r="AA534" s="316" t="str">
        <f t="shared" ca="1" si="256"/>
        <v/>
      </c>
      <c r="AC534" s="310">
        <f t="shared" ca="1" si="257"/>
        <v>16.999999999999929</v>
      </c>
      <c r="AD534" s="323">
        <f t="shared" ca="1" si="258"/>
        <v>573.21606528852476</v>
      </c>
      <c r="AE534" s="324" t="e">
        <f t="shared" ca="1" si="237"/>
        <v>#N/A</v>
      </c>
      <c r="AG534" s="306">
        <f t="shared" ca="1" si="259"/>
        <v>-2.5517243437931798</v>
      </c>
      <c r="AH534" s="304">
        <f t="shared" ca="1" si="260"/>
        <v>-0.32372602776689308</v>
      </c>
    </row>
    <row r="535" spans="1:34" x14ac:dyDescent="0.2">
      <c r="A535" s="347">
        <f t="shared" ca="1" si="238"/>
        <v>0.1</v>
      </c>
      <c r="B535" s="304">
        <f t="shared" ca="1" si="239"/>
        <v>17.09999999999993</v>
      </c>
      <c r="D535" s="306">
        <f t="shared" ca="1" si="240"/>
        <v>-0.31150791874911249</v>
      </c>
      <c r="E535" s="307">
        <f t="shared" ca="1" si="241"/>
        <v>-9.8686518423177052</v>
      </c>
      <c r="F535" s="304">
        <f t="shared" ca="1" si="242"/>
        <v>9.873567053923523</v>
      </c>
      <c r="G535" s="306">
        <f t="shared" ca="1" si="243"/>
        <v>21.804940538400384</v>
      </c>
      <c r="H535" s="307">
        <f t="shared" ca="1" si="244"/>
        <v>3.1245133986343157</v>
      </c>
      <c r="I535" s="304">
        <f t="shared" ca="1" si="245"/>
        <v>22.027664784570828</v>
      </c>
      <c r="J535" s="306">
        <f t="shared" ca="1" si="246"/>
        <v>575.39811688195857</v>
      </c>
      <c r="K535" s="307">
        <f t="shared" ca="1" si="247"/>
        <v>2141.8688939890753</v>
      </c>
      <c r="L535" s="304">
        <f t="shared" ca="1" si="232"/>
        <v>2217.8109369261597</v>
      </c>
      <c r="M535" s="306">
        <f t="shared" ca="1" si="248"/>
        <v>0.14232497983731843</v>
      </c>
      <c r="N535" s="304">
        <f t="shared" ca="1" si="249"/>
        <v>8.1546206639628842</v>
      </c>
      <c r="P535" s="310">
        <f t="shared" ca="1" si="250"/>
        <v>23</v>
      </c>
      <c r="Q535" s="304">
        <f t="shared" ca="1" si="251"/>
        <v>0</v>
      </c>
      <c r="R535" s="306">
        <f t="shared" ca="1" si="252"/>
        <v>0</v>
      </c>
      <c r="S535" s="307">
        <f t="shared" ca="1" si="253"/>
        <v>4.9929999999999914</v>
      </c>
      <c r="T535" s="304">
        <f t="shared" ca="1" si="233"/>
        <v>48.981329999999922</v>
      </c>
      <c r="U535" s="311">
        <f t="shared" ca="1" si="234"/>
        <v>0</v>
      </c>
      <c r="V535" s="306">
        <f t="shared" ca="1" si="235"/>
        <v>0.98800199340003292</v>
      </c>
      <c r="W535" s="304">
        <f t="shared" ca="1" si="236"/>
        <v>1.555382317675569</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-2.1321495448952845</v>
      </c>
      <c r="AH535" s="304">
        <f t="shared" ca="1" si="260"/>
        <v>-0.31698142224847259</v>
      </c>
    </row>
    <row r="536" spans="1:34" x14ac:dyDescent="0.2">
      <c r="A536" s="347">
        <f t="shared" ca="1" si="238"/>
        <v>0.1</v>
      </c>
      <c r="B536" s="304">
        <f t="shared" ca="1" si="239"/>
        <v>17.199999999999932</v>
      </c>
      <c r="D536" s="306">
        <f t="shared" ca="1" si="240"/>
        <v>-0.30836284169665151</v>
      </c>
      <c r="E536" s="307">
        <f t="shared" ca="1" si="241"/>
        <v>-9.854186491993655</v>
      </c>
      <c r="F536" s="304">
        <f t="shared" ca="1" si="242"/>
        <v>9.8590100446814368</v>
      </c>
      <c r="G536" s="306">
        <f t="shared" ca="1" si="243"/>
        <v>21.774104254230718</v>
      </c>
      <c r="H536" s="307">
        <f t="shared" ca="1" si="244"/>
        <v>2.1390947494349501</v>
      </c>
      <c r="I536" s="304">
        <f t="shared" ca="1" si="245"/>
        <v>21.878924617566753</v>
      </c>
      <c r="J536" s="306">
        <f t="shared" ca="1" si="246"/>
        <v>577.57706912159017</v>
      </c>
      <c r="K536" s="307">
        <f t="shared" ca="1" si="247"/>
        <v>2142.1320743964789</v>
      </c>
      <c r="L536" s="304">
        <f t="shared" ca="1" si="232"/>
        <v>2218.6313562494443</v>
      </c>
      <c r="M536" s="306">
        <f t="shared" ca="1" si="248"/>
        <v>9.7926083213300583E-2</v>
      </c>
      <c r="N536" s="304">
        <f t="shared" ca="1" si="249"/>
        <v>5.610751272369022</v>
      </c>
      <c r="P536" s="310">
        <f t="shared" ca="1" si="250"/>
        <v>23</v>
      </c>
      <c r="Q536" s="304">
        <f t="shared" ca="1" si="251"/>
        <v>0</v>
      </c>
      <c r="R536" s="306">
        <f t="shared" ca="1" si="252"/>
        <v>0</v>
      </c>
      <c r="S536" s="307">
        <f t="shared" ca="1" si="253"/>
        <v>4.9929999999999914</v>
      </c>
      <c r="T536" s="304">
        <f t="shared" ca="1" si="233"/>
        <v>48.981329999999922</v>
      </c>
      <c r="U536" s="311">
        <f t="shared" ca="1" si="234"/>
        <v>0</v>
      </c>
      <c r="V536" s="306">
        <f t="shared" ca="1" si="235"/>
        <v>0.98797568975572914</v>
      </c>
      <c r="W536" s="304">
        <f t="shared" ca="1" si="236"/>
        <v>1.5344071773334067</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-1.7030117137336855</v>
      </c>
      <c r="AH536" s="304">
        <f t="shared" ca="1" si="260"/>
        <v>-0.31151258114872254</v>
      </c>
    </row>
    <row r="537" spans="1:34" x14ac:dyDescent="0.2">
      <c r="A537" s="347">
        <f t="shared" ca="1" si="238"/>
        <v>0.1</v>
      </c>
      <c r="B537" s="304">
        <f t="shared" ca="1" si="239"/>
        <v>17.299999999999933</v>
      </c>
      <c r="D537" s="306">
        <f t="shared" ca="1" si="240"/>
        <v>-0.30583936356266633</v>
      </c>
      <c r="E537" s="307">
        <f t="shared" ca="1" si="241"/>
        <v>-9.8400457538518644</v>
      </c>
      <c r="F537" s="304">
        <f t="shared" ca="1" si="242"/>
        <v>9.8447975171763957</v>
      </c>
      <c r="G537" s="306">
        <f t="shared" ca="1" si="243"/>
        <v>21.743520317874452</v>
      </c>
      <c r="H537" s="307">
        <f t="shared" ca="1" si="244"/>
        <v>1.1550901740497637</v>
      </c>
      <c r="I537" s="304">
        <f t="shared" ca="1" si="245"/>
        <v>21.774179872592342</v>
      </c>
      <c r="J537" s="306">
        <f t="shared" ca="1" si="246"/>
        <v>579.75295035019542</v>
      </c>
      <c r="K537" s="307">
        <f t="shared" ca="1" si="247"/>
        <v>2142.2967836426533</v>
      </c>
      <c r="L537" s="304">
        <f t="shared" ca="1" si="232"/>
        <v>2219.3577883354938</v>
      </c>
      <c r="M537" s="306">
        <f t="shared" ca="1" si="248"/>
        <v>5.3073531832781205E-2</v>
      </c>
      <c r="N537" s="304">
        <f t="shared" ca="1" si="249"/>
        <v>3.0408893778715878</v>
      </c>
      <c r="P537" s="310">
        <f t="shared" ca="1" si="250"/>
        <v>23</v>
      </c>
      <c r="Q537" s="304">
        <f t="shared" ca="1" si="251"/>
        <v>0</v>
      </c>
      <c r="R537" s="306">
        <f t="shared" ca="1" si="252"/>
        <v>0</v>
      </c>
      <c r="S537" s="307">
        <f t="shared" ca="1" si="253"/>
        <v>4.9929999999999914</v>
      </c>
      <c r="T537" s="304">
        <f t="shared" ca="1" si="233"/>
        <v>48.981329999999922</v>
      </c>
      <c r="U537" s="311">
        <f t="shared" ca="1" si="234"/>
        <v>0</v>
      </c>
      <c r="V537" s="306">
        <f t="shared" ca="1" si="235"/>
        <v>0.98795922815911941</v>
      </c>
      <c r="W537" s="304">
        <f t="shared" ca="1" si="236"/>
        <v>1.5197251601447288</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-1.2664319146325032</v>
      </c>
      <c r="AH537" s="304">
        <f t="shared" ca="1" si="260"/>
        <v>-0.30731167180721197</v>
      </c>
    </row>
    <row r="538" spans="1:34" x14ac:dyDescent="0.2">
      <c r="A538" s="347">
        <f t="shared" ca="1" si="238"/>
        <v>0.1</v>
      </c>
      <c r="B538" s="304">
        <f t="shared" ca="1" si="239"/>
        <v>17.399999999999935</v>
      </c>
      <c r="D538" s="306">
        <f t="shared" ca="1" si="240"/>
        <v>-0.30394257595973062</v>
      </c>
      <c r="E538" s="307">
        <f t="shared" ca="1" si="241"/>
        <v>-9.8261464692852822</v>
      </c>
      <c r="F538" s="304">
        <f t="shared" ca="1" si="242"/>
        <v>9.8308461245880885</v>
      </c>
      <c r="G538" s="306">
        <f t="shared" ca="1" si="243"/>
        <v>21.71312606027848</v>
      </c>
      <c r="H538" s="307">
        <f t="shared" ca="1" si="244"/>
        <v>0.17247552712123537</v>
      </c>
      <c r="I538" s="304">
        <f t="shared" ca="1" si="245"/>
        <v>21.713811068465162</v>
      </c>
      <c r="J538" s="306">
        <f t="shared" ca="1" si="246"/>
        <v>581.92578266910311</v>
      </c>
      <c r="K538" s="307">
        <f t="shared" ca="1" si="247"/>
        <v>2142.3631619277116</v>
      </c>
      <c r="L538" s="304">
        <f t="shared" ca="1" si="232"/>
        <v>2219.9904355919984</v>
      </c>
      <c r="M538" s="306">
        <f t="shared" ca="1" si="248"/>
        <v>7.9432090618406625E-3</v>
      </c>
      <c r="N538" s="304">
        <f t="shared" ca="1" si="249"/>
        <v>0.45511235503354008</v>
      </c>
      <c r="P538" s="310">
        <f t="shared" ca="1" si="250"/>
        <v>23</v>
      </c>
      <c r="Q538" s="304">
        <f t="shared" ca="1" si="251"/>
        <v>0</v>
      </c>
      <c r="R538" s="306">
        <f t="shared" ca="1" si="252"/>
        <v>0</v>
      </c>
      <c r="S538" s="307">
        <f t="shared" ca="1" si="253"/>
        <v>4.9929999999999914</v>
      </c>
      <c r="T538" s="304">
        <f t="shared" ca="1" si="233"/>
        <v>48.981329999999922</v>
      </c>
      <c r="U538" s="311">
        <f t="shared" ca="1" si="234"/>
        <v>0</v>
      </c>
      <c r="V538" s="306">
        <f t="shared" ca="1" si="235"/>
        <v>0.987952594159063</v>
      </c>
      <c r="W538" s="304">
        <f t="shared" ca="1" si="236"/>
        <v>1.5112998329180378</v>
      </c>
      <c r="Y538" s="314" t="str">
        <f t="shared" ca="1" si="254"/>
        <v>Apogée</v>
      </c>
      <c r="Z538" s="315" t="str">
        <f t="shared" ca="1" si="255"/>
        <v/>
      </c>
      <c r="AA538" s="316" t="str">
        <f t="shared" ca="1" si="256"/>
        <v/>
      </c>
      <c r="AC538" s="310" t="e">
        <f t="shared" ca="1" si="257"/>
        <v>#N/A</v>
      </c>
      <c r="AD538" s="323" t="e">
        <f t="shared" ca="1" si="258"/>
        <v>#N/A</v>
      </c>
      <c r="AE538" s="324" t="e">
        <f t="shared" ca="1" si="237"/>
        <v>#N/A</v>
      </c>
      <c r="AG538" s="306">
        <f t="shared" ca="1" si="259"/>
        <v>-0.82477810491030001</v>
      </c>
      <c r="AH538" s="304">
        <f t="shared" ca="1" si="260"/>
        <v>-0.30437115164124401</v>
      </c>
    </row>
    <row r="539" spans="1:34" x14ac:dyDescent="0.2">
      <c r="A539" s="347">
        <f t="shared" ca="1" si="238"/>
        <v>0.1</v>
      </c>
      <c r="B539" s="304">
        <f t="shared" ca="1" si="239"/>
        <v>17.499999999999936</v>
      </c>
      <c r="D539" s="306">
        <f t="shared" ca="1" si="240"/>
        <v>-0.30267417499740062</v>
      </c>
      <c r="E539" s="307">
        <f t="shared" ca="1" si="241"/>
        <v>-9.8124042548149788</v>
      </c>
      <c r="F539" s="304">
        <f t="shared" ca="1" si="242"/>
        <v>9.8170713003482586</v>
      </c>
      <c r="G539" s="306">
        <f t="shared" ca="1" si="243"/>
        <v>21.68285864277874</v>
      </c>
      <c r="H539" s="307">
        <f t="shared" ca="1" si="244"/>
        <v>-0.80876489836026255</v>
      </c>
      <c r="I539" s="304">
        <f t="shared" ca="1" si="245"/>
        <v>21.697936758676949</v>
      </c>
      <c r="J539" s="306">
        <f t="shared" ca="1" si="246"/>
        <v>584.09558190425594</v>
      </c>
      <c r="K539" s="307">
        <f t="shared" ca="1" si="247"/>
        <v>2142.3313474591496</v>
      </c>
      <c r="L539" s="304">
        <f t="shared" ca="1" si="232"/>
        <v>2220.5294979140012</v>
      </c>
      <c r="M539" s="306">
        <f t="shared" ca="1" si="248"/>
        <v>-3.7282452202016397E-2</v>
      </c>
      <c r="N539" s="304">
        <f t="shared" ca="1" si="249"/>
        <v>-2.136127161073762</v>
      </c>
      <c r="P539" s="310">
        <f t="shared" ca="1" si="250"/>
        <v>23</v>
      </c>
      <c r="Q539" s="304">
        <f t="shared" ca="1" si="251"/>
        <v>0</v>
      </c>
      <c r="R539" s="306">
        <f t="shared" ca="1" si="252"/>
        <v>0</v>
      </c>
      <c r="S539" s="307">
        <f t="shared" ca="1" si="253"/>
        <v>4.9929999999999914</v>
      </c>
      <c r="T539" s="304">
        <f t="shared" ca="1" si="233"/>
        <v>48.981329999999922</v>
      </c>
      <c r="U539" s="311">
        <f t="shared" ca="1" si="234"/>
        <v>0</v>
      </c>
      <c r="V539" s="306">
        <f t="shared" ca="1" si="235"/>
        <v>0.98795577376601729</v>
      </c>
      <c r="W539" s="304">
        <f t="shared" ca="1" si="236"/>
        <v>1.5090957663871116</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-0.38060578527771921</v>
      </c>
      <c r="AH539" s="304">
        <f t="shared" ca="1" si="260"/>
        <v>-0.30268372379692376</v>
      </c>
    </row>
    <row r="540" spans="1:34" x14ac:dyDescent="0.2">
      <c r="A540" s="347">
        <f t="shared" ca="1" si="238"/>
        <v>0.1</v>
      </c>
      <c r="B540" s="304">
        <f t="shared" ca="1" si="239"/>
        <v>17.599999999999937</v>
      </c>
      <c r="D540" s="306">
        <f t="shared" ca="1" si="240"/>
        <v>-0.30203226125830684</v>
      </c>
      <c r="E540" s="307">
        <f t="shared" ca="1" si="241"/>
        <v>-9.7987342764576191</v>
      </c>
      <c r="F540" s="304">
        <f t="shared" ca="1" si="242"/>
        <v>9.8033880320767786</v>
      </c>
      <c r="G540" s="306">
        <f t="shared" ca="1" si="243"/>
        <v>21.652655416652909</v>
      </c>
      <c r="H540" s="307">
        <f t="shared" ca="1" si="244"/>
        <v>-1.7886383260060246</v>
      </c>
      <c r="I540" s="304">
        <f t="shared" ca="1" si="245"/>
        <v>21.726405907410602</v>
      </c>
      <c r="J540" s="306">
        <f t="shared" ca="1" si="246"/>
        <v>586.2623576072275</v>
      </c>
      <c r="K540" s="307">
        <f t="shared" ca="1" si="247"/>
        <v>2142.2014772979314</v>
      </c>
      <c r="L540" s="304">
        <f t="shared" ca="1" si="232"/>
        <v>2220.9751734957836</v>
      </c>
      <c r="M540" s="306">
        <f t="shared" ca="1" si="248"/>
        <v>-8.2418828753743373E-2</v>
      </c>
      <c r="N540" s="304">
        <f t="shared" ca="1" si="249"/>
        <v>-4.7222510400009696</v>
      </c>
      <c r="P540" s="310">
        <f t="shared" ca="1" si="250"/>
        <v>23</v>
      </c>
      <c r="Q540" s="304">
        <f t="shared" ca="1" si="251"/>
        <v>0</v>
      </c>
      <c r="R540" s="306">
        <f t="shared" ca="1" si="252"/>
        <v>0</v>
      </c>
      <c r="S540" s="307">
        <f t="shared" ca="1" si="253"/>
        <v>4.9929999999999914</v>
      </c>
      <c r="T540" s="304">
        <f t="shared" ca="1" si="233"/>
        <v>48.981329999999922</v>
      </c>
      <c r="U540" s="311">
        <f t="shared" ca="1" si="234"/>
        <v>0</v>
      </c>
      <c r="V540" s="306">
        <f t="shared" ca="1" si="235"/>
        <v>0.98796875336623458</v>
      </c>
      <c r="W540" s="304">
        <f t="shared" ca="1" si="236"/>
        <v>1.5130783124185139</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6.3413840681674161E-2</v>
      </c>
      <c r="AH540" s="304">
        <f t="shared" ca="1" si="260"/>
        <v>-0.30224229248690448</v>
      </c>
    </row>
    <row r="541" spans="1:34" x14ac:dyDescent="0.2">
      <c r="A541" s="347">
        <f t="shared" ca="1" si="238"/>
        <v>0.1</v>
      </c>
      <c r="B541" s="304">
        <f t="shared" ca="1" si="239"/>
        <v>17.699999999999939</v>
      </c>
      <c r="D541" s="306">
        <f t="shared" ca="1" si="240"/>
        <v>-0.30201124649455263</v>
      </c>
      <c r="E541" s="307">
        <f t="shared" ca="1" si="241"/>
        <v>-9.7850520719066374</v>
      </c>
      <c r="F541" s="304">
        <f t="shared" ca="1" si="242"/>
        <v>9.7897116833405047</v>
      </c>
      <c r="G541" s="306">
        <f t="shared" ca="1" si="243"/>
        <v>21.622454292003454</v>
      </c>
      <c r="H541" s="307">
        <f t="shared" ca="1" si="244"/>
        <v>-2.7671435331966885</v>
      </c>
      <c r="I541" s="304">
        <f t="shared" ca="1" si="245"/>
        <v>21.798798428883433</v>
      </c>
      <c r="J541" s="306">
        <f t="shared" ca="1" si="246"/>
        <v>588.42611309266033</v>
      </c>
      <c r="K541" s="307">
        <f t="shared" ca="1" si="247"/>
        <v>2141.9736882049715</v>
      </c>
      <c r="L541" s="304">
        <f t="shared" ca="1" si="232"/>
        <v>2221.3276596512601</v>
      </c>
      <c r="M541" s="306">
        <f t="shared" ca="1" si="248"/>
        <v>-0.1272835973259894</v>
      </c>
      <c r="N541" s="304">
        <f t="shared" ca="1" si="249"/>
        <v>-7.292812928021843</v>
      </c>
      <c r="P541" s="310">
        <f t="shared" ca="1" si="250"/>
        <v>23</v>
      </c>
      <c r="Q541" s="304">
        <f t="shared" ca="1" si="251"/>
        <v>0</v>
      </c>
      <c r="R541" s="306">
        <f t="shared" ca="1" si="252"/>
        <v>0</v>
      </c>
      <c r="S541" s="307">
        <f t="shared" ca="1" si="253"/>
        <v>4.9929999999999914</v>
      </c>
      <c r="T541" s="304">
        <f t="shared" ca="1" si="233"/>
        <v>48.981329999999922</v>
      </c>
      <c r="U541" s="311">
        <f t="shared" ca="1" si="234"/>
        <v>0</v>
      </c>
      <c r="V541" s="306">
        <f t="shared" ca="1" si="235"/>
        <v>0.98799151963595255</v>
      </c>
      <c r="W541" s="304">
        <f t="shared" ca="1" si="236"/>
        <v>1.5232133833478265</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0.50457373171589814</v>
      </c>
      <c r="AH541" s="304">
        <f t="shared" ca="1" si="260"/>
        <v>-0.30303991836942046</v>
      </c>
    </row>
    <row r="542" spans="1:34" x14ac:dyDescent="0.2">
      <c r="A542" s="347">
        <f t="shared" ca="1" si="238"/>
        <v>0.1</v>
      </c>
      <c r="B542" s="304">
        <f t="shared" ca="1" si="239"/>
        <v>17.79999999999994</v>
      </c>
      <c r="D542" s="306">
        <f t="shared" ca="1" si="240"/>
        <v>-0.30260187383051629</v>
      </c>
      <c r="E542" s="307">
        <f t="shared" ca="1" si="241"/>
        <v>-9.7712743860157918</v>
      </c>
      <c r="F542" s="304">
        <f t="shared" ca="1" si="242"/>
        <v>9.7759588287213042</v>
      </c>
      <c r="G542" s="306">
        <f t="shared" ca="1" si="243"/>
        <v>21.5921941046204</v>
      </c>
      <c r="H542" s="307">
        <f t="shared" ca="1" si="244"/>
        <v>-3.7442709717982678</v>
      </c>
      <c r="I542" s="304">
        <f t="shared" ca="1" si="245"/>
        <v>21.914433859031249</v>
      </c>
      <c r="J542" s="306">
        <f t="shared" ca="1" si="246"/>
        <v>590.58684551249155</v>
      </c>
      <c r="K542" s="307">
        <f t="shared" ca="1" si="247"/>
        <v>2141.6481174797218</v>
      </c>
      <c r="L542" s="304">
        <f t="shared" ca="1" si="232"/>
        <v>2221.5871536351733</v>
      </c>
      <c r="M542" s="306">
        <f t="shared" ca="1" si="248"/>
        <v>-0.1717010857352865</v>
      </c>
      <c r="N542" s="304">
        <f t="shared" ca="1" si="249"/>
        <v>-9.8377475504458189</v>
      </c>
      <c r="P542" s="310">
        <f t="shared" ca="1" si="250"/>
        <v>23</v>
      </c>
      <c r="Q542" s="304">
        <f t="shared" ca="1" si="251"/>
        <v>0</v>
      </c>
      <c r="R542" s="306">
        <f t="shared" ca="1" si="252"/>
        <v>0</v>
      </c>
      <c r="S542" s="307">
        <f t="shared" ca="1" si="253"/>
        <v>4.9929999999999914</v>
      </c>
      <c r="T542" s="304">
        <f t="shared" ca="1" si="233"/>
        <v>48.981329999999922</v>
      </c>
      <c r="U542" s="311">
        <f t="shared" ca="1" si="234"/>
        <v>0</v>
      </c>
      <c r="V542" s="306">
        <f t="shared" ca="1" si="235"/>
        <v>0.98802405945639404</v>
      </c>
      <c r="W542" s="304">
        <f t="shared" ca="1" si="236"/>
        <v>1.5394672354364407</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0.9402134530324624</v>
      </c>
      <c r="AH542" s="304">
        <f t="shared" ca="1" si="260"/>
        <v>-0.30506977435366095</v>
      </c>
    </row>
    <row r="543" spans="1:34" x14ac:dyDescent="0.2">
      <c r="A543" s="347">
        <f t="shared" ca="1" si="238"/>
        <v>0.1</v>
      </c>
      <c r="B543" s="304">
        <f t="shared" ca="1" si="239"/>
        <v>17.899999999999942</v>
      </c>
      <c r="D543" s="306">
        <f t="shared" ca="1" si="240"/>
        <v>-0.30379135037259264</v>
      </c>
      <c r="E543" s="307">
        <f t="shared" ca="1" si="241"/>
        <v>-9.7573199838250773</v>
      </c>
      <c r="F543" s="304">
        <f t="shared" ca="1" si="242"/>
        <v>9.7620480664312144</v>
      </c>
      <c r="G543" s="306">
        <f t="shared" ca="1" si="243"/>
        <v>21.561814969583143</v>
      </c>
      <c r="H543" s="307">
        <f t="shared" ca="1" si="244"/>
        <v>-4.7200029701807757</v>
      </c>
      <c r="I543" s="304">
        <f t="shared" ca="1" si="245"/>
        <v>22.072387565033715</v>
      </c>
      <c r="J543" s="306">
        <f t="shared" ca="1" si="246"/>
        <v>592.74454596620171</v>
      </c>
      <c r="K543" s="307">
        <f t="shared" ca="1" si="247"/>
        <v>2141.2249037826227</v>
      </c>
      <c r="L543" s="304">
        <f t="shared" ca="1" si="232"/>
        <v>2221.753853457124</v>
      </c>
      <c r="M543" s="306">
        <f t="shared" ca="1" si="248"/>
        <v>-0.21550623022268639</v>
      </c>
      <c r="N543" s="304">
        <f t="shared" ca="1" si="249"/>
        <v>-12.347597450534597</v>
      </c>
      <c r="P543" s="310">
        <f t="shared" ca="1" si="250"/>
        <v>23</v>
      </c>
      <c r="Q543" s="304">
        <f t="shared" ca="1" si="251"/>
        <v>0</v>
      </c>
      <c r="R543" s="306">
        <f t="shared" ca="1" si="252"/>
        <v>0</v>
      </c>
      <c r="S543" s="307">
        <f t="shared" ca="1" si="253"/>
        <v>4.9929999999999914</v>
      </c>
      <c r="T543" s="304">
        <f t="shared" ca="1" si="233"/>
        <v>48.981329999999922</v>
      </c>
      <c r="U543" s="311">
        <f t="shared" ca="1" si="234"/>
        <v>0</v>
      </c>
      <c r="V543" s="306">
        <f t="shared" ca="1" si="235"/>
        <v>0.98806635983038171</v>
      </c>
      <c r="W543" s="304">
        <f t="shared" ca="1" si="236"/>
        <v>1.5618062584212178</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1.367798427568353</v>
      </c>
      <c r="AH543" s="304">
        <f t="shared" ca="1" si="260"/>
        <v>-0.30832510223041126</v>
      </c>
    </row>
    <row r="544" spans="1:34" x14ac:dyDescent="0.2">
      <c r="A544" s="347">
        <f t="shared" ca="1" si="238"/>
        <v>0.1</v>
      </c>
      <c r="B544" s="304">
        <f t="shared" ca="1" si="239"/>
        <v>17.999999999999943</v>
      </c>
      <c r="D544" s="306">
        <f t="shared" ca="1" si="240"/>
        <v>-0.30556358334971984</v>
      </c>
      <c r="E544" s="307">
        <f t="shared" ca="1" si="241"/>
        <v>-9.743110407309203</v>
      </c>
      <c r="F544" s="304">
        <f t="shared" ca="1" si="242"/>
        <v>9.7479007746533011</v>
      </c>
      <c r="G544" s="306">
        <f t="shared" ca="1" si="243"/>
        <v>21.53125861124817</v>
      </c>
      <c r="H544" s="307">
        <f t="shared" ca="1" si="244"/>
        <v>-5.6943140109116959</v>
      </c>
      <c r="I544" s="304">
        <f t="shared" ca="1" si="245"/>
        <v>22.271513407025434</v>
      </c>
      <c r="J544" s="306">
        <f t="shared" ca="1" si="246"/>
        <v>594.89919964524324</v>
      </c>
      <c r="K544" s="307">
        <f t="shared" ca="1" si="247"/>
        <v>2140.7041879335679</v>
      </c>
      <c r="L544" s="304">
        <f t="shared" ca="1" si="232"/>
        <v>2221.8279586806148</v>
      </c>
      <c r="M544" s="306">
        <f t="shared" ca="1" si="248"/>
        <v>-0.25854792689700901</v>
      </c>
      <c r="N544" s="304">
        <f t="shared" ca="1" si="249"/>
        <v>-14.813705013055555</v>
      </c>
      <c r="P544" s="310">
        <f t="shared" ca="1" si="250"/>
        <v>23</v>
      </c>
      <c r="Q544" s="304">
        <f t="shared" ca="1" si="251"/>
        <v>0</v>
      </c>
      <c r="R544" s="306">
        <f t="shared" ca="1" si="252"/>
        <v>0</v>
      </c>
      <c r="S544" s="307">
        <f t="shared" ca="1" si="253"/>
        <v>4.9929999999999914</v>
      </c>
      <c r="T544" s="304">
        <f t="shared" ca="1" si="233"/>
        <v>48.981329999999922</v>
      </c>
      <c r="U544" s="311">
        <f t="shared" ca="1" si="234"/>
        <v>0</v>
      </c>
      <c r="V544" s="306">
        <f t="shared" ca="1" si="235"/>
        <v>0.9881184078013403</v>
      </c>
      <c r="W544" s="304">
        <f t="shared" ca="1" si="236"/>
        <v>1.5901967730229494</v>
      </c>
      <c r="Y544" s="314" t="str">
        <f t="shared" ca="1" si="254"/>
        <v/>
      </c>
      <c r="Z544" s="315" t="str">
        <f t="shared" ca="1" si="255"/>
        <v/>
      </c>
      <c r="AA544" s="316" t="str">
        <f t="shared" ca="1" si="256"/>
        <v/>
      </c>
      <c r="AC544" s="310">
        <f t="shared" ca="1" si="257"/>
        <v>17.999999999999943</v>
      </c>
      <c r="AD544" s="323">
        <f t="shared" ca="1" si="258"/>
        <v>594.89919964524324</v>
      </c>
      <c r="AE544" s="324" t="e">
        <f t="shared" ca="1" si="237"/>
        <v>#N/A</v>
      </c>
      <c r="AG544" s="306">
        <f t="shared" ca="1" si="259"/>
        <v>1.7849906132530813</v>
      </c>
      <c r="AH544" s="304">
        <f t="shared" ca="1" si="260"/>
        <v>-0.31279917052297623</v>
      </c>
    </row>
    <row r="545" spans="1:34" x14ac:dyDescent="0.2">
      <c r="A545" s="347">
        <f t="shared" ca="1" si="238"/>
        <v>0.1</v>
      </c>
      <c r="B545" s="304">
        <f t="shared" ca="1" si="239"/>
        <v>18.099999999999945</v>
      </c>
      <c r="D545" s="306">
        <f t="shared" ca="1" si="240"/>
        <v>-0.30789950419322148</v>
      </c>
      <c r="E545" s="307">
        <f t="shared" ca="1" si="241"/>
        <v>-9.7285706468750384</v>
      </c>
      <c r="F545" s="304">
        <f t="shared" ca="1" si="242"/>
        <v>9.7334417826337791</v>
      </c>
      <c r="G545" s="306">
        <f t="shared" ca="1" si="243"/>
        <v>21.500468660828847</v>
      </c>
      <c r="H545" s="307">
        <f t="shared" ca="1" si="244"/>
        <v>-6.6671710755991995</v>
      </c>
      <c r="I545" s="304">
        <f t="shared" ca="1" si="245"/>
        <v>22.510471403029079</v>
      </c>
      <c r="J545" s="306">
        <f t="shared" ca="1" si="246"/>
        <v>597.05078600884713</v>
      </c>
      <c r="K545" s="307">
        <f t="shared" ca="1" si="247"/>
        <v>2140.0861136792423</v>
      </c>
      <c r="L545" s="304">
        <f t="shared" ca="1" si="232"/>
        <v>2221.8096711996968</v>
      </c>
      <c r="M545" s="306">
        <f t="shared" ca="1" si="248"/>
        <v>-0.30069162776564795</v>
      </c>
      <c r="N545" s="304">
        <f t="shared" ca="1" si="249"/>
        <v>-17.228361205890387</v>
      </c>
      <c r="P545" s="310">
        <f t="shared" ca="1" si="250"/>
        <v>23</v>
      </c>
      <c r="Q545" s="304">
        <f t="shared" ca="1" si="251"/>
        <v>0</v>
      </c>
      <c r="R545" s="306">
        <f t="shared" ca="1" si="252"/>
        <v>0</v>
      </c>
      <c r="S545" s="307">
        <f t="shared" ca="1" si="253"/>
        <v>4.9929999999999914</v>
      </c>
      <c r="T545" s="304">
        <f t="shared" ca="1" si="233"/>
        <v>48.981329999999922</v>
      </c>
      <c r="U545" s="311">
        <f t="shared" ca="1" si="234"/>
        <v>0</v>
      </c>
      <c r="V545" s="306">
        <f t="shared" ca="1" si="235"/>
        <v>0.98818019037538329</v>
      </c>
      <c r="W545" s="304">
        <f t="shared" ca="1" si="236"/>
        <v>1.6246048380957292</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2.1897062583183864</v>
      </c>
      <c r="AH545" s="304">
        <f t="shared" ca="1" si="260"/>
        <v>-0.31848523393209538</v>
      </c>
    </row>
    <row r="546" spans="1:34" x14ac:dyDescent="0.2">
      <c r="A546" s="347">
        <f t="shared" ca="1" si="238"/>
        <v>0.1</v>
      </c>
      <c r="B546" s="304">
        <f t="shared" ca="1" si="239"/>
        <v>18.199999999999946</v>
      </c>
      <c r="D546" s="306">
        <f t="shared" ca="1" si="240"/>
        <v>-0.31077746006593182</v>
      </c>
      <c r="E546" s="307">
        <f t="shared" ca="1" si="241"/>
        <v>-9.7136297056875467</v>
      </c>
      <c r="F546" s="304">
        <f t="shared" ca="1" si="242"/>
        <v>9.7185999346048071</v>
      </c>
      <c r="G546" s="306">
        <f t="shared" ca="1" si="243"/>
        <v>21.469390914822256</v>
      </c>
      <c r="H546" s="307">
        <f t="shared" ca="1" si="244"/>
        <v>-7.6385340461679547</v>
      </c>
      <c r="I546" s="304">
        <f t="shared" ca="1" si="245"/>
        <v>22.787758745166656</v>
      </c>
      <c r="J546" s="306">
        <f t="shared" ca="1" si="246"/>
        <v>599.19927898762967</v>
      </c>
      <c r="K546" s="307">
        <f t="shared" ca="1" si="247"/>
        <v>2139.3708284231539</v>
      </c>
      <c r="L546" s="304">
        <f t="shared" ca="1" si="232"/>
        <v>2221.6991959865463</v>
      </c>
      <c r="M546" s="306">
        <f t="shared" ca="1" si="248"/>
        <v>-0.34182110434841356</v>
      </c>
      <c r="N546" s="304">
        <f t="shared" ca="1" si="249"/>
        <v>-19.58490662766501</v>
      </c>
      <c r="P546" s="310">
        <f t="shared" ca="1" si="250"/>
        <v>23</v>
      </c>
      <c r="Q546" s="304">
        <f t="shared" ca="1" si="251"/>
        <v>0</v>
      </c>
      <c r="R546" s="306">
        <f t="shared" ca="1" si="252"/>
        <v>0</v>
      </c>
      <c r="S546" s="307">
        <f t="shared" ca="1" si="253"/>
        <v>4.9929999999999914</v>
      </c>
      <c r="T546" s="304">
        <f t="shared" ca="1" si="233"/>
        <v>48.981329999999922</v>
      </c>
      <c r="U546" s="311">
        <f t="shared" ca="1" si="234"/>
        <v>0</v>
      </c>
      <c r="V546" s="306">
        <f t="shared" ca="1" si="235"/>
        <v>0.98825169444708916</v>
      </c>
      <c r="W546" s="304">
        <f t="shared" ca="1" si="236"/>
        <v>1.6649960688538128</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2.5801578710779962</v>
      </c>
      <c r="AH546" s="304">
        <f t="shared" ca="1" si="260"/>
        <v>-0.32537649471174285</v>
      </c>
    </row>
    <row r="547" spans="1:34" x14ac:dyDescent="0.2">
      <c r="A547" s="347">
        <f t="shared" ca="1" si="238"/>
        <v>0.1</v>
      </c>
      <c r="B547" s="304">
        <f t="shared" ca="1" si="239"/>
        <v>18.299999999999947</v>
      </c>
      <c r="D547" s="306">
        <f t="shared" ca="1" si="240"/>
        <v>-0.31417364969945988</v>
      </c>
      <c r="E547" s="307">
        <f t="shared" ca="1" si="241"/>
        <v>-9.6982210431977673</v>
      </c>
      <c r="F547" s="304">
        <f t="shared" ca="1" si="242"/>
        <v>9.7033085329123416</v>
      </c>
      <c r="G547" s="306">
        <f t="shared" ca="1" si="243"/>
        <v>21.437973549852309</v>
      </c>
      <c r="H547" s="307">
        <f t="shared" ca="1" si="244"/>
        <v>-8.6083561504877313</v>
      </c>
      <c r="I547" s="304">
        <f t="shared" ca="1" si="245"/>
        <v>23.101742478389095</v>
      </c>
      <c r="J547" s="306">
        <f t="shared" ca="1" si="246"/>
        <v>601.3446472108634</v>
      </c>
      <c r="K547" s="307">
        <f t="shared" ca="1" si="247"/>
        <v>2138.5584839133212</v>
      </c>
      <c r="L547" s="304">
        <f t="shared" ca="1" si="232"/>
        <v>2221.4967418042279</v>
      </c>
      <c r="M547" s="306">
        <f t="shared" ca="1" si="248"/>
        <v>-0.38183937376290289</v>
      </c>
      <c r="N547" s="304">
        <f t="shared" ca="1" si="249"/>
        <v>-21.877784568532714</v>
      </c>
      <c r="P547" s="310">
        <f t="shared" ca="1" si="250"/>
        <v>23</v>
      </c>
      <c r="Q547" s="304">
        <f t="shared" ca="1" si="251"/>
        <v>0</v>
      </c>
      <c r="R547" s="306">
        <f t="shared" ca="1" si="252"/>
        <v>0</v>
      </c>
      <c r="S547" s="307">
        <f t="shared" ca="1" si="253"/>
        <v>4.9929999999999914</v>
      </c>
      <c r="T547" s="304">
        <f t="shared" ca="1" si="233"/>
        <v>48.981329999999922</v>
      </c>
      <c r="U547" s="311">
        <f t="shared" ca="1" si="234"/>
        <v>0</v>
      </c>
      <c r="V547" s="306">
        <f t="shared" ca="1" si="235"/>
        <v>0.98833290672945906</v>
      </c>
      <c r="W547" s="304">
        <f t="shared" ca="1" si="236"/>
        <v>1.7113354673250125</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2.9548792173112011</v>
      </c>
      <c r="AH547" s="304">
        <f t="shared" ca="1" si="260"/>
        <v>-0.33346606626353209</v>
      </c>
    </row>
    <row r="548" spans="1:34" x14ac:dyDescent="0.2">
      <c r="A548" s="347">
        <f t="shared" ca="1" si="238"/>
        <v>0.1</v>
      </c>
      <c r="B548" s="304">
        <f t="shared" ca="1" si="239"/>
        <v>18.399999999999949</v>
      </c>
      <c r="D548" s="306">
        <f t="shared" ca="1" si="240"/>
        <v>-0.31806258005447802</v>
      </c>
      <c r="E548" s="307">
        <f t="shared" ca="1" si="241"/>
        <v>-9.6822828927424052</v>
      </c>
      <c r="F548" s="304">
        <f t="shared" ca="1" si="242"/>
        <v>9.687505655220189</v>
      </c>
      <c r="G548" s="306">
        <f t="shared" ca="1" si="243"/>
        <v>21.40616729184686</v>
      </c>
      <c r="H548" s="307">
        <f t="shared" ca="1" si="244"/>
        <v>-9.5765844397619713</v>
      </c>
      <c r="I548" s="304">
        <f t="shared" ca="1" si="245"/>
        <v>23.450692263948742</v>
      </c>
      <c r="J548" s="306">
        <f t="shared" ca="1" si="246"/>
        <v>603.48685425294832</v>
      </c>
      <c r="K548" s="307">
        <f t="shared" ca="1" si="247"/>
        <v>2137.6492368838085</v>
      </c>
      <c r="L548" s="304">
        <f t="shared" ca="1" si="232"/>
        <v>2221.2025218799949</v>
      </c>
      <c r="M548" s="306">
        <f t="shared" ca="1" si="248"/>
        <v>-0.42066884447222602</v>
      </c>
      <c r="N548" s="304">
        <f t="shared" ca="1" si="249"/>
        <v>-24.102549360903783</v>
      </c>
      <c r="P548" s="310">
        <f t="shared" ca="1" si="250"/>
        <v>23</v>
      </c>
      <c r="Q548" s="304">
        <f t="shared" ca="1" si="251"/>
        <v>0</v>
      </c>
      <c r="R548" s="306">
        <f t="shared" ca="1" si="252"/>
        <v>0</v>
      </c>
      <c r="S548" s="307">
        <f t="shared" ca="1" si="253"/>
        <v>4.9929999999999914</v>
      </c>
      <c r="T548" s="304">
        <f t="shared" ca="1" si="233"/>
        <v>48.981329999999922</v>
      </c>
      <c r="U548" s="311">
        <f t="shared" ca="1" si="234"/>
        <v>0</v>
      </c>
      <c r="V548" s="306">
        <f t="shared" ca="1" si="235"/>
        <v>0.98842381368842469</v>
      </c>
      <c r="W548" s="304">
        <f t="shared" ca="1" si="236"/>
        <v>1.7635872658713414</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3.312733763857282</v>
      </c>
      <c r="AH548" s="304">
        <f t="shared" ca="1" si="260"/>
        <v>-0.34274693917985488</v>
      </c>
    </row>
    <row r="549" spans="1:34" x14ac:dyDescent="0.2">
      <c r="A549" s="347">
        <f t="shared" ca="1" si="238"/>
        <v>0.1</v>
      </c>
      <c r="B549" s="304">
        <f t="shared" ca="1" si="239"/>
        <v>18.49999999999995</v>
      </c>
      <c r="D549" s="306">
        <f t="shared" ca="1" si="240"/>
        <v>-0.32241752200854623</v>
      </c>
      <c r="E549" s="307">
        <f t="shared" ca="1" si="241"/>
        <v>-9.6657584558563325</v>
      </c>
      <c r="F549" s="304">
        <f t="shared" ca="1" si="242"/>
        <v>9.6711343484338137</v>
      </c>
      <c r="G549" s="306">
        <f t="shared" ca="1" si="243"/>
        <v>21.373925539646006</v>
      </c>
      <c r="H549" s="307">
        <f t="shared" ca="1" si="244"/>
        <v>-10.543160285347604</v>
      </c>
      <c r="I549" s="304">
        <f t="shared" ca="1" si="245"/>
        <v>23.832811873064049</v>
      </c>
      <c r="J549" s="306">
        <f t="shared" ca="1" si="246"/>
        <v>605.62585889452293</v>
      </c>
      <c r="K549" s="307">
        <f t="shared" ca="1" si="247"/>
        <v>2136.6432496475531</v>
      </c>
      <c r="L549" s="304">
        <f t="shared" ca="1" si="232"/>
        <v>2220.8167545356337</v>
      </c>
      <c r="M549" s="306">
        <f t="shared" ca="1" si="248"/>
        <v>-0.45825078560886096</v>
      </c>
      <c r="N549" s="304">
        <f t="shared" ca="1" si="249"/>
        <v>-26.255835973942055</v>
      </c>
      <c r="P549" s="310">
        <f t="shared" ca="1" si="250"/>
        <v>23</v>
      </c>
      <c r="Q549" s="304">
        <f t="shared" ca="1" si="251"/>
        <v>0</v>
      </c>
      <c r="R549" s="306">
        <f t="shared" ca="1" si="252"/>
        <v>0</v>
      </c>
      <c r="S549" s="307">
        <f t="shared" ca="1" si="253"/>
        <v>4.9929999999999914</v>
      </c>
      <c r="T549" s="304">
        <f t="shared" ca="1" si="233"/>
        <v>48.981329999999922</v>
      </c>
      <c r="U549" s="311">
        <f t="shared" ca="1" si="234"/>
        <v>0</v>
      </c>
      <c r="V549" s="306">
        <f t="shared" ca="1" si="235"/>
        <v>0.98852440148215115</v>
      </c>
      <c r="W549" s="304">
        <f t="shared" ca="1" si="236"/>
        <v>1.8217147843086627</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3.6529083085792626</v>
      </c>
      <c r="AH549" s="304">
        <f t="shared" ca="1" si="260"/>
        <v>-0.35321194990413468</v>
      </c>
    </row>
    <row r="550" spans="1:34" x14ac:dyDescent="0.2">
      <c r="A550" s="347">
        <f t="shared" ca="1" si="238"/>
        <v>0.1</v>
      </c>
      <c r="B550" s="304">
        <f t="shared" ca="1" si="239"/>
        <v>18.599999999999952</v>
      </c>
      <c r="D550" s="306">
        <f t="shared" ca="1" si="240"/>
        <v>-0.32721094649237187</v>
      </c>
      <c r="E550" s="307">
        <f t="shared" ca="1" si="241"/>
        <v>-9.6485959823060892</v>
      </c>
      <c r="F550" s="304">
        <f t="shared" ca="1" si="242"/>
        <v>9.6541427083546711</v>
      </c>
      <c r="G550" s="306">
        <f t="shared" ca="1" si="243"/>
        <v>21.341204444996769</v>
      </c>
      <c r="H550" s="307">
        <f t="shared" ca="1" si="244"/>
        <v>-11.508019883578212</v>
      </c>
      <c r="I550" s="304">
        <f t="shared" ca="1" si="245"/>
        <v>24.246268348015565</v>
      </c>
      <c r="J550" s="306">
        <f t="shared" ca="1" si="246"/>
        <v>607.76161539375505</v>
      </c>
      <c r="K550" s="307">
        <f t="shared" ca="1" si="247"/>
        <v>2135.5406906391067</v>
      </c>
      <c r="L550" s="304">
        <f t="shared" ca="1" si="232"/>
        <v>2220.3396637725004</v>
      </c>
      <c r="M550" s="306">
        <f t="shared" ca="1" si="248"/>
        <v>-0.494544252413609</v>
      </c>
      <c r="N550" s="304">
        <f t="shared" ca="1" si="249"/>
        <v>-28.335298445752272</v>
      </c>
      <c r="P550" s="310">
        <f t="shared" ca="1" si="250"/>
        <v>23</v>
      </c>
      <c r="Q550" s="304">
        <f t="shared" ca="1" si="251"/>
        <v>0</v>
      </c>
      <c r="R550" s="306">
        <f t="shared" ca="1" si="252"/>
        <v>0</v>
      </c>
      <c r="S550" s="307">
        <f t="shared" ca="1" si="253"/>
        <v>4.9929999999999914</v>
      </c>
      <c r="T550" s="304">
        <f t="shared" ca="1" si="233"/>
        <v>48.981329999999922</v>
      </c>
      <c r="U550" s="311">
        <f t="shared" ca="1" si="234"/>
        <v>0</v>
      </c>
      <c r="V550" s="306">
        <f t="shared" ca="1" si="235"/>
        <v>0.98863465590526989</v>
      </c>
      <c r="W550" s="304">
        <f t="shared" ca="1" si="236"/>
        <v>1.8856803008649037</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3.9748944467184972</v>
      </c>
      <c r="AH550" s="304">
        <f t="shared" ca="1" si="260"/>
        <v>-0.36485375211469373</v>
      </c>
    </row>
    <row r="551" spans="1:34" x14ac:dyDescent="0.2">
      <c r="A551" s="347">
        <f t="shared" ca="1" si="238"/>
        <v>0.1</v>
      </c>
      <c r="B551" s="304">
        <f t="shared" ca="1" si="239"/>
        <v>18.699999999999953</v>
      </c>
      <c r="D551" s="306">
        <f t="shared" ca="1" si="240"/>
        <v>-0.33241492662565736</v>
      </c>
      <c r="E551" s="307">
        <f t="shared" ca="1" si="241"/>
        <v>-9.6307487494407518</v>
      </c>
      <c r="F551" s="304">
        <f t="shared" ca="1" si="242"/>
        <v>9.6364838586643291</v>
      </c>
      <c r="G551" s="306">
        <f t="shared" ca="1" si="243"/>
        <v>21.307962952334204</v>
      </c>
      <c r="H551" s="307">
        <f t="shared" ca="1" si="244"/>
        <v>-12.471094758522288</v>
      </c>
      <c r="I551" s="304">
        <f t="shared" ca="1" si="245"/>
        <v>24.689218085109317</v>
      </c>
      <c r="J551" s="306">
        <f t="shared" ca="1" si="246"/>
        <v>609.89407376362158</v>
      </c>
      <c r="K551" s="307">
        <f t="shared" ca="1" si="247"/>
        <v>2134.3417349070019</v>
      </c>
      <c r="L551" s="304">
        <f t="shared" ca="1" si="232"/>
        <v>2219.7714798099864</v>
      </c>
      <c r="M551" s="306">
        <f t="shared" ca="1" si="248"/>
        <v>-0.52952461146190932</v>
      </c>
      <c r="N551" s="304">
        <f t="shared" ca="1" si="249"/>
        <v>-30.33952538507214</v>
      </c>
      <c r="P551" s="310">
        <f t="shared" ca="1" si="250"/>
        <v>23</v>
      </c>
      <c r="Q551" s="304">
        <f t="shared" ca="1" si="251"/>
        <v>0</v>
      </c>
      <c r="R551" s="306">
        <f t="shared" ca="1" si="252"/>
        <v>0</v>
      </c>
      <c r="S551" s="307">
        <f t="shared" ca="1" si="253"/>
        <v>4.9929999999999914</v>
      </c>
      <c r="T551" s="304">
        <f t="shared" ca="1" si="233"/>
        <v>48.981329999999922</v>
      </c>
      <c r="U551" s="311">
        <f t="shared" ca="1" si="234"/>
        <v>0</v>
      </c>
      <c r="V551" s="306">
        <f t="shared" ca="1" si="235"/>
        <v>0.98875456233805536</v>
      </c>
      <c r="W551" s="304">
        <f t="shared" ca="1" si="236"/>
        <v>1.9554449369539333</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4.2784609863939647</v>
      </c>
      <c r="AH551" s="304">
        <f t="shared" ca="1" si="260"/>
        <v>-0.37766479088021371</v>
      </c>
    </row>
    <row r="552" spans="1:34" x14ac:dyDescent="0.2">
      <c r="A552" s="347">
        <f t="shared" ca="1" si="238"/>
        <v>0.1</v>
      </c>
      <c r="B552" s="304">
        <f t="shared" ca="1" si="239"/>
        <v>18.799999999999955</v>
      </c>
      <c r="D552" s="306">
        <f t="shared" ca="1" si="240"/>
        <v>-0.33800149584824618</v>
      </c>
      <c r="E552" s="307">
        <f t="shared" ca="1" si="241"/>
        <v>-9.6121749571897031</v>
      </c>
      <c r="F552" s="304">
        <f t="shared" ca="1" si="242"/>
        <v>9.6181158455708218</v>
      </c>
      <c r="G552" s="306">
        <f t="shared" ca="1" si="243"/>
        <v>21.27416280274938</v>
      </c>
      <c r="H552" s="307">
        <f t="shared" ca="1" si="244"/>
        <v>-13.432312254241257</v>
      </c>
      <c r="I552" s="304">
        <f t="shared" ca="1" si="245"/>
        <v>25.159829400322359</v>
      </c>
      <c r="J552" s="306">
        <f t="shared" ca="1" si="246"/>
        <v>612.02318005137579</v>
      </c>
      <c r="K552" s="307">
        <f t="shared" ca="1" si="247"/>
        <v>2133.0465645563636</v>
      </c>
      <c r="L552" s="304">
        <f t="shared" ca="1" si="232"/>
        <v>2219.1124395771167</v>
      </c>
      <c r="M552" s="306">
        <f t="shared" ca="1" si="248"/>
        <v>-0.5631818058379362</v>
      </c>
      <c r="N552" s="304">
        <f t="shared" ca="1" si="249"/>
        <v>-32.267940573069929</v>
      </c>
      <c r="P552" s="310">
        <f t="shared" ca="1" si="250"/>
        <v>23</v>
      </c>
      <c r="Q552" s="304">
        <f t="shared" ca="1" si="251"/>
        <v>0</v>
      </c>
      <c r="R552" s="306">
        <f t="shared" ca="1" si="252"/>
        <v>0</v>
      </c>
      <c r="S552" s="307">
        <f t="shared" ca="1" si="253"/>
        <v>4.9929999999999914</v>
      </c>
      <c r="T552" s="304">
        <f t="shared" ca="1" si="233"/>
        <v>48.981329999999922</v>
      </c>
      <c r="U552" s="311">
        <f t="shared" ca="1" si="234"/>
        <v>0</v>
      </c>
      <c r="V552" s="306">
        <f t="shared" ca="1" si="235"/>
        <v>0.98888410570048246</v>
      </c>
      <c r="W552" s="304">
        <f t="shared" ca="1" si="236"/>
        <v>2.0309685555182577</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4.5636204835176679</v>
      </c>
      <c r="AH552" s="304">
        <f t="shared" ca="1" si="260"/>
        <v>-0.3916372795822024</v>
      </c>
    </row>
    <row r="553" spans="1:34" x14ac:dyDescent="0.2">
      <c r="A553" s="347">
        <f t="shared" ca="1" si="238"/>
        <v>0.1</v>
      </c>
      <c r="B553" s="304">
        <f t="shared" ca="1" si="239"/>
        <v>18.899999999999956</v>
      </c>
      <c r="D553" s="306">
        <f t="shared" ca="1" si="240"/>
        <v>-0.34394295630266869</v>
      </c>
      <c r="E553" s="307">
        <f t="shared" ca="1" si="241"/>
        <v>-9.5928375560749579</v>
      </c>
      <c r="F553" s="304">
        <f t="shared" ca="1" si="242"/>
        <v>9.5990014654875644</v>
      </c>
      <c r="G553" s="306">
        <f t="shared" ca="1" si="243"/>
        <v>21.239768507119113</v>
      </c>
      <c r="H553" s="307">
        <f t="shared" ca="1" si="244"/>
        <v>-14.391596009848753</v>
      </c>
      <c r="I553" s="304">
        <f t="shared" ca="1" si="245"/>
        <v>25.656301408166833</v>
      </c>
      <c r="J553" s="306">
        <f t="shared" ca="1" si="246"/>
        <v>614.14887661686919</v>
      </c>
      <c r="K553" s="307">
        <f t="shared" ca="1" si="247"/>
        <v>2131.6553691431591</v>
      </c>
      <c r="L553" s="304">
        <f t="shared" ca="1" si="232"/>
        <v>2218.3627871578219</v>
      </c>
      <c r="M553" s="306">
        <f t="shared" ca="1" si="248"/>
        <v>-0.59551848628060122</v>
      </c>
      <c r="N553" s="304">
        <f t="shared" ca="1" si="249"/>
        <v>-34.120695885897867</v>
      </c>
      <c r="P553" s="310">
        <f t="shared" ca="1" si="250"/>
        <v>23</v>
      </c>
      <c r="Q553" s="304">
        <f t="shared" ca="1" si="251"/>
        <v>0</v>
      </c>
      <c r="R553" s="306">
        <f t="shared" ca="1" si="252"/>
        <v>0</v>
      </c>
      <c r="S553" s="307">
        <f t="shared" ca="1" si="253"/>
        <v>4.9929999999999914</v>
      </c>
      <c r="T553" s="304">
        <f t="shared" ca="1" si="233"/>
        <v>48.981329999999922</v>
      </c>
      <c r="U553" s="311">
        <f t="shared" ca="1" si="234"/>
        <v>0</v>
      </c>
      <c r="V553" s="306">
        <f t="shared" ca="1" si="235"/>
        <v>0.98902327041102256</v>
      </c>
      <c r="W553" s="304">
        <f t="shared" ca="1" si="236"/>
        <v>2.1122096725120949</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4.8305928103237603</v>
      </c>
      <c r="AH553" s="304">
        <f t="shared" ca="1" si="260"/>
        <v>-0.40676317955502928</v>
      </c>
    </row>
    <row r="554" spans="1:34" x14ac:dyDescent="0.2">
      <c r="A554" s="347">
        <f t="shared" ca="1" si="238"/>
        <v>0.1</v>
      </c>
      <c r="B554" s="304">
        <f t="shared" ca="1" si="239"/>
        <v>18.999999999999957</v>
      </c>
      <c r="D554" s="306">
        <f t="shared" ca="1" si="240"/>
        <v>-0.35021213544896501</v>
      </c>
      <c r="E554" s="307">
        <f t="shared" ca="1" si="241"/>
        <v>-9.5727040252609825</v>
      </c>
      <c r="F554" s="304">
        <f t="shared" ca="1" si="242"/>
        <v>9.5791080427701392</v>
      </c>
      <c r="G554" s="306">
        <f t="shared" ca="1" si="243"/>
        <v>21.204747293574215</v>
      </c>
      <c r="H554" s="307">
        <f t="shared" ca="1" si="244"/>
        <v>-15.348866412374852</v>
      </c>
      <c r="I554" s="304">
        <f t="shared" ca="1" si="245"/>
        <v>26.176879262610196</v>
      </c>
      <c r="J554" s="306">
        <f t="shared" ca="1" si="246"/>
        <v>616.27110240690388</v>
      </c>
      <c r="K554" s="307">
        <f t="shared" ca="1" si="247"/>
        <v>2130.1683460220479</v>
      </c>
      <c r="L554" s="304">
        <f t="shared" ca="1" si="232"/>
        <v>2217.5227741910853</v>
      </c>
      <c r="M554" s="306">
        <f t="shared" ca="1" si="248"/>
        <v>-0.6265481137979525</v>
      </c>
      <c r="N554" s="304">
        <f t="shared" ca="1" si="249"/>
        <v>-35.8985625825051</v>
      </c>
      <c r="P554" s="310">
        <f t="shared" ca="1" si="250"/>
        <v>23</v>
      </c>
      <c r="Q554" s="304">
        <f t="shared" ca="1" si="251"/>
        <v>0</v>
      </c>
      <c r="R554" s="306">
        <f t="shared" ca="1" si="252"/>
        <v>0</v>
      </c>
      <c r="S554" s="307">
        <f t="shared" ca="1" si="253"/>
        <v>4.9929999999999914</v>
      </c>
      <c r="T554" s="304">
        <f t="shared" ca="1" si="233"/>
        <v>48.981329999999922</v>
      </c>
      <c r="U554" s="311">
        <f t="shared" ca="1" si="234"/>
        <v>0</v>
      </c>
      <c r="V554" s="306">
        <f t="shared" ca="1" si="235"/>
        <v>0.98917204034997186</v>
      </c>
      <c r="W554" s="304">
        <f t="shared" ca="1" si="236"/>
        <v>2.1991253809577889</v>
      </c>
      <c r="Y554" s="314" t="str">
        <f t="shared" ca="1" si="254"/>
        <v/>
      </c>
      <c r="Z554" s="315" t="str">
        <f t="shared" ca="1" si="255"/>
        <v/>
      </c>
      <c r="AA554" s="316" t="str">
        <f t="shared" ca="1" si="256"/>
        <v/>
      </c>
      <c r="AC554" s="310">
        <f t="shared" ca="1" si="257"/>
        <v>18.999999999999957</v>
      </c>
      <c r="AD554" s="323">
        <f t="shared" ca="1" si="258"/>
        <v>616.27110240690388</v>
      </c>
      <c r="AE554" s="324" t="e">
        <f t="shared" ca="1" si="237"/>
        <v>#N/A</v>
      </c>
      <c r="AG554" s="306">
        <f t="shared" ca="1" si="259"/>
        <v>5.079768213457438</v>
      </c>
      <c r="AH554" s="304">
        <f t="shared" ca="1" si="260"/>
        <v>-0.4230341823577205</v>
      </c>
    </row>
    <row r="555" spans="1:34" x14ac:dyDescent="0.2">
      <c r="A555" s="347">
        <f t="shared" ca="1" si="238"/>
        <v>0.1</v>
      </c>
      <c r="B555" s="304">
        <f t="shared" ca="1" si="239"/>
        <v>19.099999999999959</v>
      </c>
      <c r="D555" s="306">
        <f t="shared" ca="1" si="240"/>
        <v>-0.35678259188528055</v>
      </c>
      <c r="E555" s="307">
        <f t="shared" ca="1" si="241"/>
        <v>-9.5517461163157797</v>
      </c>
      <c r="F555" s="304">
        <f t="shared" ca="1" si="242"/>
        <v>9.558407173186648</v>
      </c>
      <c r="G555" s="306">
        <f t="shared" ca="1" si="243"/>
        <v>21.169069034385686</v>
      </c>
      <c r="H555" s="307">
        <f t="shared" ca="1" si="244"/>
        <v>-16.30404102400643</v>
      </c>
      <c r="I555" s="304">
        <f t="shared" ca="1" si="245"/>
        <v>26.719865970754263</v>
      </c>
      <c r="J555" s="306">
        <f t="shared" ca="1" si="246"/>
        <v>618.38979322330192</v>
      </c>
      <c r="K555" s="307">
        <f t="shared" ca="1" si="247"/>
        <v>2128.5857006502288</v>
      </c>
      <c r="L555" s="304">
        <f t="shared" ca="1" si="232"/>
        <v>2216.5926602277159</v>
      </c>
      <c r="M555" s="306">
        <f t="shared" ca="1" si="248"/>
        <v>-0.65629311608319307</v>
      </c>
      <c r="N555" s="304">
        <f t="shared" ca="1" si="249"/>
        <v>-37.602825675056373</v>
      </c>
      <c r="P555" s="310">
        <f t="shared" ca="1" si="250"/>
        <v>23</v>
      </c>
      <c r="Q555" s="304">
        <f t="shared" ca="1" si="251"/>
        <v>0</v>
      </c>
      <c r="R555" s="306">
        <f t="shared" ca="1" si="252"/>
        <v>0</v>
      </c>
      <c r="S555" s="307">
        <f t="shared" ca="1" si="253"/>
        <v>4.9929999999999914</v>
      </c>
      <c r="T555" s="304">
        <f t="shared" ca="1" si="233"/>
        <v>48.981329999999922</v>
      </c>
      <c r="U555" s="311">
        <f t="shared" ca="1" si="234"/>
        <v>0</v>
      </c>
      <c r="V555" s="306">
        <f t="shared" ca="1" si="235"/>
        <v>0.98933039882707807</v>
      </c>
      <c r="W555" s="304">
        <f t="shared" ca="1" si="236"/>
        <v>2.2916712869101694</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5.3116717638370199</v>
      </c>
      <c r="AH555" s="304">
        <f t="shared" ca="1" si="260"/>
        <v>-0.44044169456394805</v>
      </c>
    </row>
    <row r="556" spans="1:34" x14ac:dyDescent="0.2">
      <c r="A556" s="347">
        <f t="shared" ca="1" si="238"/>
        <v>0.1</v>
      </c>
      <c r="B556" s="304">
        <f t="shared" ca="1" si="239"/>
        <v>19.19999999999996</v>
      </c>
      <c r="D556" s="306">
        <f t="shared" ca="1" si="240"/>
        <v>-0.36362877354654266</v>
      </c>
      <c r="E556" s="307">
        <f t="shared" ca="1" si="241"/>
        <v>-9.5299395763799577</v>
      </c>
      <c r="F556" s="304">
        <f t="shared" ca="1" si="242"/>
        <v>9.536874446819775</v>
      </c>
      <c r="G556" s="306">
        <f t="shared" ca="1" si="243"/>
        <v>21.132706157031031</v>
      </c>
      <c r="H556" s="307">
        <f t="shared" ca="1" si="244"/>
        <v>-17.257034981644427</v>
      </c>
      <c r="I556" s="304">
        <f t="shared" ca="1" si="245"/>
        <v>27.283631097731782</v>
      </c>
      <c r="J556" s="306">
        <f t="shared" ca="1" si="246"/>
        <v>620.5048819828728</v>
      </c>
      <c r="K556" s="307">
        <f t="shared" ca="1" si="247"/>
        <v>2126.9076468499461</v>
      </c>
      <c r="L556" s="304">
        <f t="shared" ca="1" si="232"/>
        <v>2215.5727130458513</v>
      </c>
      <c r="M556" s="306">
        <f t="shared" ca="1" si="248"/>
        <v>-0.68478315716967642</v>
      </c>
      <c r="N556" s="304">
        <f t="shared" ca="1" si="249"/>
        <v>-39.235184787466181</v>
      </c>
      <c r="P556" s="310">
        <f t="shared" ca="1" si="250"/>
        <v>23</v>
      </c>
      <c r="Q556" s="304">
        <f t="shared" ca="1" si="251"/>
        <v>0</v>
      </c>
      <c r="R556" s="306">
        <f t="shared" ca="1" si="252"/>
        <v>0</v>
      </c>
      <c r="S556" s="307">
        <f t="shared" ca="1" si="253"/>
        <v>4.9929999999999914</v>
      </c>
      <c r="T556" s="304">
        <f t="shared" ca="1" si="233"/>
        <v>48.981329999999922</v>
      </c>
      <c r="U556" s="311">
        <f t="shared" ca="1" si="234"/>
        <v>0</v>
      </c>
      <c r="V556" s="306">
        <f t="shared" ca="1" si="235"/>
        <v>0.98949832855318964</v>
      </c>
      <c r="W556" s="304">
        <f t="shared" ca="1" si="236"/>
        <v>2.3898014566011216</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5.5269305377932936</v>
      </c>
      <c r="AH556" s="304">
        <f t="shared" ca="1" si="260"/>
        <v>-0.45897682493694641</v>
      </c>
    </row>
    <row r="557" spans="1:34" x14ac:dyDescent="0.2">
      <c r="A557" s="347">
        <f t="shared" ca="1" si="238"/>
        <v>0.1</v>
      </c>
      <c r="B557" s="304">
        <f t="shared" ca="1" si="239"/>
        <v>19.299999999999962</v>
      </c>
      <c r="D557" s="306">
        <f t="shared" ca="1" si="240"/>
        <v>-0.37072613289760131</v>
      </c>
      <c r="E557" s="307">
        <f t="shared" ca="1" si="241"/>
        <v>-9.5072638621630059</v>
      </c>
      <c r="F557" s="304">
        <f t="shared" ca="1" si="242"/>
        <v>9.5144891618207144</v>
      </c>
      <c r="G557" s="306">
        <f t="shared" ca="1" si="243"/>
        <v>21.095633543741272</v>
      </c>
      <c r="H557" s="307">
        <f t="shared" ca="1" si="244"/>
        <v>-18.207761367860726</v>
      </c>
      <c r="I557" s="304">
        <f t="shared" ca="1" si="245"/>
        <v>27.866616741915109</v>
      </c>
      <c r="J557" s="306">
        <f t="shared" ca="1" si="246"/>
        <v>622.61629896791146</v>
      </c>
      <c r="K557" s="307">
        <f t="shared" ca="1" si="247"/>
        <v>2125.1344070324708</v>
      </c>
      <c r="L557" s="304">
        <f t="shared" ca="1" si="232"/>
        <v>2214.463208927561</v>
      </c>
      <c r="M557" s="306">
        <f t="shared" ca="1" si="248"/>
        <v>-0.71205355907981971</v>
      </c>
      <c r="N557" s="304">
        <f t="shared" ca="1" si="249"/>
        <v>-40.797663722542886</v>
      </c>
      <c r="P557" s="310">
        <f t="shared" ca="1" si="250"/>
        <v>23</v>
      </c>
      <c r="Q557" s="304">
        <f t="shared" ca="1" si="251"/>
        <v>0</v>
      </c>
      <c r="R557" s="306">
        <f t="shared" ca="1" si="252"/>
        <v>0</v>
      </c>
      <c r="S557" s="307">
        <f t="shared" ca="1" si="253"/>
        <v>4.9929999999999914</v>
      </c>
      <c r="T557" s="304">
        <f t="shared" ca="1" si="233"/>
        <v>48.981329999999922</v>
      </c>
      <c r="U557" s="311">
        <f t="shared" ca="1" si="234"/>
        <v>0</v>
      </c>
      <c r="V557" s="306">
        <f t="shared" ca="1" si="235"/>
        <v>0.9896758116156511</v>
      </c>
      <c r="W557" s="304">
        <f t="shared" ca="1" si="236"/>
        <v>2.4934683740047467</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5.7262443572183415</v>
      </c>
      <c r="AH557" s="304">
        <f t="shared" ca="1" si="260"/>
        <v>-0.47863037384360618</v>
      </c>
    </row>
    <row r="558" spans="1:34" x14ac:dyDescent="0.2">
      <c r="A558" s="347">
        <f t="shared" ca="1" si="238"/>
        <v>0.1</v>
      </c>
      <c r="B558" s="304">
        <f t="shared" ca="1" si="239"/>
        <v>19.399999999999963</v>
      </c>
      <c r="D558" s="306">
        <f t="shared" ca="1" si="240"/>
        <v>-0.37805120452860907</v>
      </c>
      <c r="E558" s="307">
        <f t="shared" ca="1" si="241"/>
        <v>-9.483701853863904</v>
      </c>
      <c r="F558" s="304">
        <f t="shared" ca="1" si="242"/>
        <v>9.4912340381125979</v>
      </c>
      <c r="G558" s="306">
        <f t="shared" ca="1" si="243"/>
        <v>21.057828423288409</v>
      </c>
      <c r="H558" s="307">
        <f t="shared" ca="1" si="244"/>
        <v>-19.156131553247118</v>
      </c>
      <c r="I558" s="304">
        <f t="shared" ca="1" si="245"/>
        <v>28.467341182308598</v>
      </c>
      <c r="J558" s="306">
        <f t="shared" ca="1" si="246"/>
        <v>624.72397206626295</v>
      </c>
      <c r="K558" s="307">
        <f t="shared" ca="1" si="247"/>
        <v>2123.2662123864152</v>
      </c>
      <c r="L558" s="304">
        <f t="shared" ca="1" si="232"/>
        <v>2213.2644328990609</v>
      </c>
      <c r="M558" s="306">
        <f t="shared" ca="1" si="248"/>
        <v>-0.7381438968253895</v>
      </c>
      <c r="N558" s="304">
        <f t="shared" ca="1" si="249"/>
        <v>-42.292529961434902</v>
      </c>
      <c r="P558" s="310">
        <f t="shared" ca="1" si="250"/>
        <v>23</v>
      </c>
      <c r="Q558" s="304">
        <f t="shared" ca="1" si="251"/>
        <v>0</v>
      </c>
      <c r="R558" s="306">
        <f t="shared" ca="1" si="252"/>
        <v>0</v>
      </c>
      <c r="S558" s="307">
        <f t="shared" ca="1" si="253"/>
        <v>4.9929999999999914</v>
      </c>
      <c r="T558" s="304">
        <f t="shared" ca="1" si="233"/>
        <v>48.981329999999922</v>
      </c>
      <c r="U558" s="311">
        <f t="shared" ca="1" si="234"/>
        <v>0</v>
      </c>
      <c r="V558" s="306">
        <f t="shared" ca="1" si="235"/>
        <v>0.98986282945715287</v>
      </c>
      <c r="W558" s="304">
        <f t="shared" ca="1" si="236"/>
        <v>2.6026229080562708</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5.9103604895047566</v>
      </c>
      <c r="AH558" s="304">
        <f t="shared" ca="1" si="260"/>
        <v>-0.49939282475560803</v>
      </c>
    </row>
    <row r="559" spans="1:34" x14ac:dyDescent="0.2">
      <c r="A559" s="347">
        <f t="shared" ca="1" si="238"/>
        <v>0.1</v>
      </c>
      <c r="B559" s="304">
        <f t="shared" ca="1" si="239"/>
        <v>19.499999999999964</v>
      </c>
      <c r="D559" s="306">
        <f t="shared" ca="1" si="240"/>
        <v>-0.38558165083103219</v>
      </c>
      <c r="E559" s="307">
        <f t="shared" ca="1" si="241"/>
        <v>-9.4592395759256558</v>
      </c>
      <c r="F559" s="304">
        <f t="shared" ca="1" si="242"/>
        <v>9.4670949379530231</v>
      </c>
      <c r="G559" s="306">
        <f t="shared" ca="1" si="243"/>
        <v>21.019270258205307</v>
      </c>
      <c r="H559" s="307">
        <f t="shared" ca="1" si="244"/>
        <v>-20.102055510839683</v>
      </c>
      <c r="I559" s="304">
        <f t="shared" ca="1" si="245"/>
        <v>29.08440059462038</v>
      </c>
      <c r="J559" s="306">
        <f t="shared" ca="1" si="246"/>
        <v>626.82782700033761</v>
      </c>
      <c r="K559" s="307">
        <f t="shared" ca="1" si="247"/>
        <v>2121.3033030332108</v>
      </c>
      <c r="L559" s="304">
        <f t="shared" ca="1" si="232"/>
        <v>2211.9766789370942</v>
      </c>
      <c r="M559" s="306">
        <f t="shared" ca="1" si="248"/>
        <v>-0.76309677438194845</v>
      </c>
      <c r="N559" s="304">
        <f t="shared" ca="1" si="249"/>
        <v>-43.722224532132444</v>
      </c>
      <c r="P559" s="310">
        <f t="shared" ca="1" si="250"/>
        <v>23</v>
      </c>
      <c r="Q559" s="304">
        <f t="shared" ca="1" si="251"/>
        <v>0</v>
      </c>
      <c r="R559" s="306">
        <f t="shared" ca="1" si="252"/>
        <v>0</v>
      </c>
      <c r="S559" s="307">
        <f t="shared" ca="1" si="253"/>
        <v>4.9929999999999914</v>
      </c>
      <c r="T559" s="304">
        <f t="shared" ca="1" si="233"/>
        <v>48.981329999999922</v>
      </c>
      <c r="U559" s="311">
        <f t="shared" ca="1" si="234"/>
        <v>0</v>
      </c>
      <c r="V559" s="306">
        <f t="shared" ca="1" si="235"/>
        <v>0.99005936285775975</v>
      </c>
      <c r="W559" s="304">
        <f t="shared" ca="1" si="236"/>
        <v>2.7172142887698083</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6.0800523784535887</v>
      </c>
      <c r="AH559" s="304">
        <f t="shared" ca="1" si="260"/>
        <v>-0.52125433768401264</v>
      </c>
    </row>
    <row r="560" spans="1:34" x14ac:dyDescent="0.2">
      <c r="A560" s="347">
        <f t="shared" ca="1" si="238"/>
        <v>0.1</v>
      </c>
      <c r="B560" s="304">
        <f t="shared" ca="1" si="239"/>
        <v>19.599999999999966</v>
      </c>
      <c r="D560" s="306">
        <f t="shared" ca="1" si="240"/>
        <v>-0.39329628131911065</v>
      </c>
      <c r="E560" s="307">
        <f t="shared" ca="1" si="241"/>
        <v>-9.433865929589194</v>
      </c>
      <c r="F560" s="304">
        <f t="shared" ca="1" si="242"/>
        <v>9.4420605983208574</v>
      </c>
      <c r="G560" s="306">
        <f t="shared" ca="1" si="243"/>
        <v>20.979940630073397</v>
      </c>
      <c r="H560" s="307">
        <f t="shared" ca="1" si="244"/>
        <v>-21.045442103798603</v>
      </c>
      <c r="I560" s="304">
        <f t="shared" ca="1" si="245"/>
        <v>29.716469207928178</v>
      </c>
      <c r="J560" s="306">
        <f t="shared" ca="1" si="246"/>
        <v>628.9277875447516</v>
      </c>
      <c r="K560" s="307">
        <f t="shared" ca="1" si="247"/>
        <v>2119.2459281524789</v>
      </c>
      <c r="L560" s="304">
        <f t="shared" ca="1" si="232"/>
        <v>2210.6002501440184</v>
      </c>
      <c r="M560" s="306">
        <f t="shared" ca="1" si="248"/>
        <v>-0.78695677908215134</v>
      </c>
      <c r="N560" s="304">
        <f t="shared" ca="1" si="249"/>
        <v>-45.089302100616379</v>
      </c>
      <c r="P560" s="310">
        <f t="shared" ca="1" si="250"/>
        <v>23</v>
      </c>
      <c r="Q560" s="304">
        <f t="shared" ca="1" si="251"/>
        <v>0</v>
      </c>
      <c r="R560" s="306">
        <f t="shared" ca="1" si="252"/>
        <v>0</v>
      </c>
      <c r="S560" s="307">
        <f t="shared" ca="1" si="253"/>
        <v>4.9929999999999914</v>
      </c>
      <c r="T560" s="304">
        <f t="shared" ca="1" si="233"/>
        <v>48.981329999999922</v>
      </c>
      <c r="U560" s="311">
        <f t="shared" ca="1" si="234"/>
        <v>0</v>
      </c>
      <c r="V560" s="306">
        <f t="shared" ca="1" si="235"/>
        <v>0.99026539191983887</v>
      </c>
      <c r="W560" s="304">
        <f t="shared" ca="1" si="236"/>
        <v>2.8371900915259354</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6.2361022424981831</v>
      </c>
      <c r="AH560" s="304">
        <f t="shared" ca="1" si="260"/>
        <v>-0.5442047443961171</v>
      </c>
    </row>
    <row r="561" spans="1:34" x14ac:dyDescent="0.2">
      <c r="A561" s="347">
        <f t="shared" ca="1" si="238"/>
        <v>0.1</v>
      </c>
      <c r="B561" s="304">
        <f t="shared" ca="1" si="239"/>
        <v>19.699999999999967</v>
      </c>
      <c r="D561" s="306">
        <f t="shared" ca="1" si="240"/>
        <v>-0.40117505078867211</v>
      </c>
      <c r="E561" s="307">
        <f t="shared" ca="1" si="241"/>
        <v>-9.4075724405645325</v>
      </c>
      <c r="F561" s="304">
        <f t="shared" ca="1" si="242"/>
        <v>9.4161223784445696</v>
      </c>
      <c r="G561" s="306">
        <f t="shared" ca="1" si="243"/>
        <v>20.939823124994529</v>
      </c>
      <c r="H561" s="307">
        <f t="shared" ca="1" si="244"/>
        <v>-21.986199347855056</v>
      </c>
      <c r="I561" s="304">
        <f t="shared" ca="1" si="245"/>
        <v>30.362298237611686</v>
      </c>
      <c r="J561" s="306">
        <f t="shared" ca="1" si="246"/>
        <v>631.02377573250499</v>
      </c>
      <c r="K561" s="307">
        <f t="shared" ca="1" si="247"/>
        <v>2117.0943460798962</v>
      </c>
      <c r="L561" s="304">
        <f t="shared" ca="1" si="232"/>
        <v>2209.1354588940831</v>
      </c>
      <c r="M561" s="306">
        <f t="shared" ca="1" si="248"/>
        <v>-0.80976960485305782</v>
      </c>
      <c r="N561" s="304">
        <f t="shared" ca="1" si="249"/>
        <v>-46.396380736056599</v>
      </c>
      <c r="P561" s="310">
        <f t="shared" ca="1" si="250"/>
        <v>23</v>
      </c>
      <c r="Q561" s="304">
        <f t="shared" ca="1" si="251"/>
        <v>0</v>
      </c>
      <c r="R561" s="306">
        <f t="shared" ca="1" si="252"/>
        <v>0</v>
      </c>
      <c r="S561" s="307">
        <f t="shared" ca="1" si="253"/>
        <v>4.9929999999999914</v>
      </c>
      <c r="T561" s="304">
        <f t="shared" ca="1" si="233"/>
        <v>48.981329999999922</v>
      </c>
      <c r="U561" s="311">
        <f t="shared" ca="1" si="234"/>
        <v>0</v>
      </c>
      <c r="V561" s="306">
        <f t="shared" ca="1" si="235"/>
        <v>0.99048089605563028</v>
      </c>
      <c r="W561" s="304">
        <f t="shared" ca="1" si="236"/>
        <v>2.9624962288355774</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6.379287224903659</v>
      </c>
      <c r="AH561" s="304">
        <f t="shared" ca="1" si="260"/>
        <v>-0.56823354526856407</v>
      </c>
    </row>
    <row r="562" spans="1:34" x14ac:dyDescent="0.2">
      <c r="A562" s="347">
        <f t="shared" ca="1" si="238"/>
        <v>0.1</v>
      </c>
      <c r="B562" s="304">
        <f t="shared" ca="1" si="239"/>
        <v>19.799999999999969</v>
      </c>
      <c r="D562" s="306">
        <f t="shared" ca="1" si="240"/>
        <v>-0.40919904097755033</v>
      </c>
      <c r="E562" s="307">
        <f t="shared" ca="1" si="241"/>
        <v>-9.3803530237968111</v>
      </c>
      <c r="F562" s="304">
        <f t="shared" ca="1" si="242"/>
        <v>9.3892740244489055</v>
      </c>
      <c r="G562" s="306">
        <f t="shared" ca="1" si="243"/>
        <v>20.898903220896774</v>
      </c>
      <c r="H562" s="307">
        <f t="shared" ca="1" si="244"/>
        <v>-22.924234650234737</v>
      </c>
      <c r="I562" s="304">
        <f t="shared" ca="1" si="245"/>
        <v>31.020713888230112</v>
      </c>
      <c r="J562" s="306">
        <f t="shared" ca="1" si="246"/>
        <v>633.11571204979953</v>
      </c>
      <c r="K562" s="307">
        <f t="shared" ca="1" si="247"/>
        <v>2114.8488243799916</v>
      </c>
      <c r="L562" s="304">
        <f t="shared" ca="1" si="232"/>
        <v>2207.5826269532377</v>
      </c>
      <c r="M562" s="306">
        <f t="shared" ca="1" si="248"/>
        <v>-0.83158133032525727</v>
      </c>
      <c r="N562" s="304">
        <f t="shared" ca="1" si="249"/>
        <v>-47.646100549511623</v>
      </c>
      <c r="P562" s="310">
        <f t="shared" ca="1" si="250"/>
        <v>23</v>
      </c>
      <c r="Q562" s="304">
        <f t="shared" ca="1" si="251"/>
        <v>0</v>
      </c>
      <c r="R562" s="306">
        <f t="shared" ca="1" si="252"/>
        <v>0</v>
      </c>
      <c r="S562" s="307">
        <f t="shared" ca="1" si="253"/>
        <v>4.9929999999999914</v>
      </c>
      <c r="T562" s="304">
        <f t="shared" ca="1" si="233"/>
        <v>48.981329999999922</v>
      </c>
      <c r="U562" s="311">
        <f t="shared" ca="1" si="234"/>
        <v>0</v>
      </c>
      <c r="V562" s="306">
        <f t="shared" ca="1" si="235"/>
        <v>0.99070585397722055</v>
      </c>
      <c r="W562" s="304">
        <f t="shared" ca="1" si="236"/>
        <v>3.0930769489282848</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6.5103686962865819</v>
      </c>
      <c r="AH562" s="304">
        <f t="shared" ca="1" si="260"/>
        <v>-0.59332990763780946</v>
      </c>
    </row>
    <row r="563" spans="1:34" x14ac:dyDescent="0.2">
      <c r="A563" s="347">
        <f t="shared" ca="1" si="238"/>
        <v>0.1</v>
      </c>
      <c r="B563" s="304">
        <f t="shared" ca="1" si="239"/>
        <v>19.89999999999997</v>
      </c>
      <c r="D563" s="306">
        <f t="shared" ca="1" si="240"/>
        <v>-0.41735042979082149</v>
      </c>
      <c r="E563" s="307">
        <f t="shared" ca="1" si="241"/>
        <v>-9.3522037662562774</v>
      </c>
      <c r="F563" s="304">
        <f t="shared" ca="1" si="242"/>
        <v>9.361511452047937</v>
      </c>
      <c r="G563" s="306">
        <f t="shared" ca="1" si="243"/>
        <v>20.857168177917693</v>
      </c>
      <c r="H563" s="307">
        <f t="shared" ca="1" si="244"/>
        <v>-23.859455026860367</v>
      </c>
      <c r="I563" s="304">
        <f t="shared" ca="1" si="245"/>
        <v>31.690614676599679</v>
      </c>
      <c r="J563" s="306">
        <f t="shared" ca="1" si="246"/>
        <v>635.2035156197403</v>
      </c>
      <c r="K563" s="307">
        <f t="shared" ca="1" si="247"/>
        <v>2112.5096398961368</v>
      </c>
      <c r="L563" s="304">
        <f t="shared" ca="1" si="232"/>
        <v>2205.9420855747289</v>
      </c>
      <c r="M563" s="306">
        <f t="shared" ca="1" si="248"/>
        <v>-0.85243783549971552</v>
      </c>
      <c r="N563" s="304">
        <f t="shared" ca="1" si="249"/>
        <v>-48.841090271400837</v>
      </c>
      <c r="P563" s="310">
        <f t="shared" ca="1" si="250"/>
        <v>23</v>
      </c>
      <c r="Q563" s="304">
        <f t="shared" ca="1" si="251"/>
        <v>0</v>
      </c>
      <c r="R563" s="306">
        <f t="shared" ca="1" si="252"/>
        <v>0</v>
      </c>
      <c r="S563" s="307">
        <f t="shared" ca="1" si="253"/>
        <v>4.9929999999999914</v>
      </c>
      <c r="T563" s="304">
        <f t="shared" ca="1" si="233"/>
        <v>48.981329999999922</v>
      </c>
      <c r="U563" s="311">
        <f t="shared" ca="1" si="234"/>
        <v>0</v>
      </c>
      <c r="V563" s="306">
        <f t="shared" ca="1" si="235"/>
        <v>0.99094024368869227</v>
      </c>
      <c r="W563" s="304">
        <f t="shared" ca="1" si="236"/>
        <v>3.2288748405575687</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6.6300842764003978</v>
      </c>
      <c r="AH563" s="304">
        <f t="shared" ca="1" si="260"/>
        <v>-0.6194826655173824</v>
      </c>
    </row>
    <row r="564" spans="1:34" x14ac:dyDescent="0.2">
      <c r="A564" s="347">
        <f t="shared" ca="1" si="238"/>
        <v>0.1</v>
      </c>
      <c r="B564" s="304">
        <f t="shared" ca="1" si="239"/>
        <v>19.999999999999972</v>
      </c>
      <c r="D564" s="306">
        <f t="shared" ca="1" si="240"/>
        <v>-0.42561245153869964</v>
      </c>
      <c r="E564" s="307">
        <f t="shared" ca="1" si="241"/>
        <v>-9.3231227278921427</v>
      </c>
      <c r="F564" s="304">
        <f t="shared" ca="1" si="242"/>
        <v>9.3328325474233065</v>
      </c>
      <c r="G564" s="306">
        <f t="shared" ca="1" si="243"/>
        <v>20.814606932763823</v>
      </c>
      <c r="H564" s="307">
        <f t="shared" ca="1" si="244"/>
        <v>-24.791767299649582</v>
      </c>
      <c r="I564" s="304">
        <f t="shared" ca="1" si="245"/>
        <v>32.370968283408423</v>
      </c>
      <c r="J564" s="306">
        <f t="shared" ca="1" si="246"/>
        <v>637.28710437527434</v>
      </c>
      <c r="K564" s="307">
        <f t="shared" ca="1" si="247"/>
        <v>2110.0770787798115</v>
      </c>
      <c r="L564" s="304">
        <f t="shared" ca="1" si="232"/>
        <v>2204.214175572547</v>
      </c>
      <c r="M564" s="306">
        <f t="shared" ca="1" si="248"/>
        <v>-0.87238433984254071</v>
      </c>
      <c r="N564" s="304">
        <f t="shared" ca="1" si="249"/>
        <v>-49.983940786284094</v>
      </c>
      <c r="P564" s="310">
        <f t="shared" ca="1" si="250"/>
        <v>23</v>
      </c>
      <c r="Q564" s="304">
        <f t="shared" ca="1" si="251"/>
        <v>0</v>
      </c>
      <c r="R564" s="306">
        <f t="shared" ca="1" si="252"/>
        <v>0</v>
      </c>
      <c r="S564" s="307">
        <f t="shared" ca="1" si="253"/>
        <v>4.9929999999999914</v>
      </c>
      <c r="T564" s="304">
        <f t="shared" ca="1" si="233"/>
        <v>48.981329999999922</v>
      </c>
      <c r="U564" s="311">
        <f t="shared" ca="1" si="234"/>
        <v>0</v>
      </c>
      <c r="V564" s="306">
        <f t="shared" ca="1" si="235"/>
        <v>0.99118404248024294</v>
      </c>
      <c r="W564" s="304">
        <f t="shared" ca="1" si="236"/>
        <v>3.3698308434616893</v>
      </c>
      <c r="Y564" s="314" t="str">
        <f t="shared" ca="1" si="254"/>
        <v/>
      </c>
      <c r="Z564" s="315" t="str">
        <f t="shared" ca="1" si="255"/>
        <v/>
      </c>
      <c r="AA564" s="316" t="str">
        <f t="shared" ca="1" si="256"/>
        <v/>
      </c>
      <c r="AC564" s="310">
        <f t="shared" ca="1" si="257"/>
        <v>19.999999999999972</v>
      </c>
      <c r="AD564" s="323">
        <f t="shared" ca="1" si="258"/>
        <v>637.28710437527434</v>
      </c>
      <c r="AE564" s="324" t="e">
        <f t="shared" ca="1" si="237"/>
        <v>#N/A</v>
      </c>
      <c r="AG564" s="306">
        <f t="shared" ca="1" si="259"/>
        <v>6.739142144610466</v>
      </c>
      <c r="AH564" s="304">
        <f t="shared" ca="1" si="260"/>
        <v>-0.64668032056029923</v>
      </c>
    </row>
    <row r="565" spans="1:34" x14ac:dyDescent="0.2">
      <c r="A565" s="347">
        <f t="shared" ca="1" si="238"/>
        <v>0.1</v>
      </c>
      <c r="B565" s="304">
        <f t="shared" ca="1" si="239"/>
        <v>20.099999999999973</v>
      </c>
      <c r="D565" s="306">
        <f t="shared" ca="1" si="240"/>
        <v>-0.43396935104502804</v>
      </c>
      <c r="E565" s="307">
        <f t="shared" ca="1" si="241"/>
        <v>-9.2931097603215864</v>
      </c>
      <c r="F565" s="304">
        <f t="shared" ca="1" si="242"/>
        <v>9.3032369858577049</v>
      </c>
      <c r="G565" s="306">
        <f t="shared" ca="1" si="243"/>
        <v>20.771209997659319</v>
      </c>
      <c r="H565" s="307">
        <f t="shared" ca="1" si="244"/>
        <v>-25.721078275681741</v>
      </c>
      <c r="I565" s="304">
        <f t="shared" ca="1" si="245"/>
        <v>33.060808103109181</v>
      </c>
      <c r="J565" s="306">
        <f t="shared" ca="1" si="246"/>
        <v>639.36639522179553</v>
      </c>
      <c r="K565" s="307">
        <f t="shared" ca="1" si="247"/>
        <v>2107.5514365010449</v>
      </c>
      <c r="L565" s="304">
        <f t="shared" ca="1" si="232"/>
        <v>2202.3992473746739</v>
      </c>
      <c r="M565" s="306">
        <f t="shared" ca="1" si="248"/>
        <v>-0.89146504493191392</v>
      </c>
      <c r="N565" s="304">
        <f t="shared" ca="1" si="249"/>
        <v>-51.077184658038966</v>
      </c>
      <c r="P565" s="310">
        <f t="shared" ca="1" si="250"/>
        <v>23</v>
      </c>
      <c r="Q565" s="304">
        <f t="shared" ca="1" si="251"/>
        <v>0</v>
      </c>
      <c r="R565" s="306">
        <f t="shared" ca="1" si="252"/>
        <v>0</v>
      </c>
      <c r="S565" s="307">
        <f t="shared" ca="1" si="253"/>
        <v>4.9929999999999914</v>
      </c>
      <c r="T565" s="304">
        <f t="shared" ca="1" si="233"/>
        <v>48.981329999999922</v>
      </c>
      <c r="U565" s="311">
        <f t="shared" ca="1" si="234"/>
        <v>0</v>
      </c>
      <c r="V565" s="306">
        <f t="shared" ca="1" si="235"/>
        <v>0.99143722692408731</v>
      </c>
      <c r="W565" s="304">
        <f t="shared" ca="1" si="236"/>
        <v>3.5158842639632049</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6.8382172342550227</v>
      </c>
      <c r="AH565" s="304">
        <f t="shared" ca="1" si="260"/>
        <v>-0.67491104415415482</v>
      </c>
    </row>
    <row r="566" spans="1:34" x14ac:dyDescent="0.2">
      <c r="A566" s="347">
        <f t="shared" ca="1" si="238"/>
        <v>0.1</v>
      </c>
      <c r="B566" s="304">
        <f t="shared" ca="1" si="239"/>
        <v>20.199999999999974</v>
      </c>
      <c r="D566" s="306">
        <f t="shared" ca="1" si="240"/>
        <v>-0.44240633394402101</v>
      </c>
      <c r="E566" s="307">
        <f t="shared" ca="1" si="241"/>
        <v>-9.2621663424367746</v>
      </c>
      <c r="F566" s="304">
        <f t="shared" ca="1" si="242"/>
        <v>9.2727260673052569</v>
      </c>
      <c r="G566" s="306">
        <f t="shared" ca="1" si="243"/>
        <v>20.726969364264917</v>
      </c>
      <c r="H566" s="307">
        <f t="shared" ca="1" si="244"/>
        <v>-26.647294909925417</v>
      </c>
      <c r="I566" s="304">
        <f t="shared" ca="1" si="245"/>
        <v>33.759229627521322</v>
      </c>
      <c r="J566" s="306">
        <f t="shared" ca="1" si="246"/>
        <v>641.44130418989175</v>
      </c>
      <c r="K566" s="307">
        <f t="shared" ca="1" si="247"/>
        <v>2104.9330178417645</v>
      </c>
      <c r="L566" s="304">
        <f t="shared" ca="1" si="232"/>
        <v>2200.4976610578951</v>
      </c>
      <c r="M566" s="306">
        <f t="shared" ca="1" si="248"/>
        <v>-0.90972286573456784</v>
      </c>
      <c r="N566" s="304">
        <f t="shared" ca="1" si="249"/>
        <v>-52.123280733137193</v>
      </c>
      <c r="P566" s="310">
        <f t="shared" ca="1" si="250"/>
        <v>23</v>
      </c>
      <c r="Q566" s="304">
        <f t="shared" ca="1" si="251"/>
        <v>0</v>
      </c>
      <c r="R566" s="306">
        <f t="shared" ca="1" si="252"/>
        <v>0</v>
      </c>
      <c r="S566" s="307">
        <f t="shared" ca="1" si="253"/>
        <v>4.9929999999999914</v>
      </c>
      <c r="T566" s="304">
        <f t="shared" ca="1" si="233"/>
        <v>48.981329999999922</v>
      </c>
      <c r="U566" s="311">
        <f t="shared" ca="1" si="234"/>
        <v>0</v>
      </c>
      <c r="V566" s="306">
        <f t="shared" ca="1" si="235"/>
        <v>0.99169977287197209</v>
      </c>
      <c r="W566" s="304">
        <f t="shared" ca="1" si="236"/>
        <v>3.6669727952338471</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6.9279489453258414</v>
      </c>
      <c r="AH566" s="304">
        <f t="shared" ca="1" si="260"/>
        <v>-0.70416268054540576</v>
      </c>
    </row>
    <row r="567" spans="1:34" x14ac:dyDescent="0.2">
      <c r="A567" s="347">
        <f t="shared" ca="1" si="238"/>
        <v>0.1</v>
      </c>
      <c r="B567" s="304">
        <f t="shared" ca="1" si="239"/>
        <v>20.299999999999976</v>
      </c>
      <c r="D567" s="306">
        <f t="shared" ca="1" si="240"/>
        <v>-0.45090951500483778</v>
      </c>
      <c r="E567" s="307">
        <f t="shared" ca="1" si="241"/>
        <v>-9.2302954318666028</v>
      </c>
      <c r="F567" s="304">
        <f t="shared" ca="1" si="242"/>
        <v>9.2413025678342215</v>
      </c>
      <c r="G567" s="306">
        <f t="shared" ca="1" si="243"/>
        <v>20.681878412764434</v>
      </c>
      <c r="H567" s="307">
        <f t="shared" ca="1" si="244"/>
        <v>-27.570324453112079</v>
      </c>
      <c r="I567" s="304">
        <f t="shared" ca="1" si="245"/>
        <v>34.465386768905432</v>
      </c>
      <c r="J567" s="306">
        <f t="shared" ca="1" si="246"/>
        <v>643.51174657874321</v>
      </c>
      <c r="K567" s="307">
        <f t="shared" ca="1" si="247"/>
        <v>2102.2221368736127</v>
      </c>
      <c r="L567" s="304">
        <f t="shared" ca="1" si="232"/>
        <v>2198.5097863658198</v>
      </c>
      <c r="M567" s="306">
        <f t="shared" ca="1" si="248"/>
        <v>-0.92719923595528964</v>
      </c>
      <c r="N567" s="304">
        <f t="shared" ca="1" si="249"/>
        <v>-53.124602987992667</v>
      </c>
      <c r="P567" s="310">
        <f t="shared" ca="1" si="250"/>
        <v>23</v>
      </c>
      <c r="Q567" s="304">
        <f t="shared" ca="1" si="251"/>
        <v>0</v>
      </c>
      <c r="R567" s="306">
        <f t="shared" ca="1" si="252"/>
        <v>0</v>
      </c>
      <c r="S567" s="307">
        <f t="shared" ca="1" si="253"/>
        <v>4.9929999999999914</v>
      </c>
      <c r="T567" s="304">
        <f t="shared" ca="1" si="233"/>
        <v>48.981329999999922</v>
      </c>
      <c r="U567" s="311">
        <f t="shared" ca="1" si="234"/>
        <v>0</v>
      </c>
      <c r="V567" s="306">
        <f t="shared" ca="1" si="235"/>
        <v>0.99197165545414756</v>
      </c>
      <c r="W567" s="304">
        <f t="shared" ca="1" si="236"/>
        <v>3.8230325417920299</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7.0089400553806085</v>
      </c>
      <c r="AH567" s="304">
        <f t="shared" ca="1" si="260"/>
        <v>-0.73442275089802789</v>
      </c>
    </row>
    <row r="568" spans="1:34" x14ac:dyDescent="0.2">
      <c r="A568" s="347">
        <f t="shared" ca="1" si="238"/>
        <v>0.1</v>
      </c>
      <c r="B568" s="304">
        <f t="shared" ca="1" si="239"/>
        <v>20.399999999999977</v>
      </c>
      <c r="D568" s="306">
        <f t="shared" ca="1" si="240"/>
        <v>-0.45946586591188049</v>
      </c>
      <c r="E568" s="307">
        <f t="shared" ca="1" si="241"/>
        <v>-9.1975013310927096</v>
      </c>
      <c r="F568" s="304">
        <f t="shared" ca="1" si="242"/>
        <v>9.2089706057403795</v>
      </c>
      <c r="G568" s="306">
        <f t="shared" ca="1" si="243"/>
        <v>20.635931826173245</v>
      </c>
      <c r="H568" s="307">
        <f t="shared" ca="1" si="244"/>
        <v>-28.49007458622135</v>
      </c>
      <c r="I568" s="304">
        <f t="shared" ca="1" si="245"/>
        <v>35.178488203203472</v>
      </c>
      <c r="J568" s="306">
        <f t="shared" ca="1" si="246"/>
        <v>645.57763709069013</v>
      </c>
      <c r="K568" s="307">
        <f t="shared" ca="1" si="247"/>
        <v>2099.419116921646</v>
      </c>
      <c r="L568" s="304">
        <f t="shared" ca="1" si="232"/>
        <v>2196.436002711589</v>
      </c>
      <c r="M568" s="306">
        <f t="shared" ca="1" si="248"/>
        <v>-0.94393397447108585</v>
      </c>
      <c r="N568" s="304">
        <f t="shared" ca="1" si="249"/>
        <v>-54.083432876202814</v>
      </c>
      <c r="P568" s="310">
        <f t="shared" ca="1" si="250"/>
        <v>23</v>
      </c>
      <c r="Q568" s="304">
        <f t="shared" ca="1" si="251"/>
        <v>0</v>
      </c>
      <c r="R568" s="306">
        <f t="shared" ca="1" si="252"/>
        <v>0</v>
      </c>
      <c r="S568" s="307">
        <f t="shared" ca="1" si="253"/>
        <v>4.9929999999999914</v>
      </c>
      <c r="T568" s="304">
        <f t="shared" ca="1" si="233"/>
        <v>48.981329999999922</v>
      </c>
      <c r="U568" s="311">
        <f t="shared" ca="1" si="234"/>
        <v>0</v>
      </c>
      <c r="V568" s="306">
        <f t="shared" ca="1" si="235"/>
        <v>0.99225284907965905</v>
      </c>
      <c r="W568" s="304">
        <f t="shared" ca="1" si="236"/>
        <v>3.9839980478380963</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7.0817565553262671</v>
      </c>
      <c r="AH568" s="304">
        <f t="shared" ca="1" si="260"/>
        <v>-0.76567845819988711</v>
      </c>
    </row>
    <row r="569" spans="1:34" x14ac:dyDescent="0.2">
      <c r="A569" s="347">
        <f t="shared" ca="1" si="238"/>
        <v>0.1</v>
      </c>
      <c r="B569" s="304">
        <f t="shared" ca="1" si="239"/>
        <v>20.499999999999979</v>
      </c>
      <c r="D569" s="306">
        <f t="shared" ca="1" si="240"/>
        <v>-0.46806316358214767</v>
      </c>
      <c r="E569" s="307">
        <f t="shared" ca="1" si="241"/>
        <v>-9.1637895669627731</v>
      </c>
      <c r="F569" s="304">
        <f t="shared" ca="1" si="242"/>
        <v>9.1757355210728626</v>
      </c>
      <c r="G569" s="306">
        <f t="shared" ca="1" si="243"/>
        <v>20.58912550981503</v>
      </c>
      <c r="H569" s="307">
        <f t="shared" ca="1" si="244"/>
        <v>-29.406453542917628</v>
      </c>
      <c r="I569" s="304">
        <f t="shared" ca="1" si="245"/>
        <v>35.897793793361295</v>
      </c>
      <c r="J569" s="306">
        <f t="shared" ca="1" si="246"/>
        <v>647.6388899574896</v>
      </c>
      <c r="K569" s="307">
        <f t="shared" ca="1" si="247"/>
        <v>2096.524290515189</v>
      </c>
      <c r="L569" s="304">
        <f t="shared" ca="1" si="232"/>
        <v>2194.2766991666267</v>
      </c>
      <c r="M569" s="306">
        <f t="shared" ca="1" si="248"/>
        <v>-0.95996520148384479</v>
      </c>
      <c r="N569" s="304">
        <f t="shared" ca="1" si="249"/>
        <v>-55.001954524450021</v>
      </c>
      <c r="P569" s="310">
        <f t="shared" ca="1" si="250"/>
        <v>23</v>
      </c>
      <c r="Q569" s="304">
        <f t="shared" ca="1" si="251"/>
        <v>0</v>
      </c>
      <c r="R569" s="306">
        <f t="shared" ca="1" si="252"/>
        <v>0</v>
      </c>
      <c r="S569" s="307">
        <f t="shared" ca="1" si="253"/>
        <v>4.9929999999999914</v>
      </c>
      <c r="T569" s="304">
        <f t="shared" ca="1" si="233"/>
        <v>48.981329999999922</v>
      </c>
      <c r="U569" s="311">
        <f t="shared" ca="1" si="234"/>
        <v>0</v>
      </c>
      <c r="V569" s="306">
        <f t="shared" ca="1" si="235"/>
        <v>0.99254332743783513</v>
      </c>
      <c r="W569" s="304">
        <f t="shared" ca="1" si="236"/>
        <v>4.1498023290672235</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7.1469281814756132</v>
      </c>
      <c r="AH569" s="304">
        <f t="shared" ca="1" si="260"/>
        <v>-0.79791669293773348</v>
      </c>
    </row>
    <row r="570" spans="1:34" x14ac:dyDescent="0.2">
      <c r="A570" s="347">
        <f t="shared" ca="1" si="238"/>
        <v>0.1</v>
      </c>
      <c r="B570" s="304">
        <f t="shared" ca="1" si="239"/>
        <v>20.59999999999998</v>
      </c>
      <c r="D570" s="306">
        <f t="shared" ca="1" si="240"/>
        <v>-0.47668993981491348</v>
      </c>
      <c r="E570" s="307">
        <f t="shared" ca="1" si="241"/>
        <v>-9.1291667823453189</v>
      </c>
      <c r="F570" s="304">
        <f t="shared" ca="1" si="242"/>
        <v>9.1416037673155532</v>
      </c>
      <c r="G570" s="306">
        <f t="shared" ca="1" si="243"/>
        <v>20.541456515833538</v>
      </c>
      <c r="H570" s="307">
        <f t="shared" ca="1" si="244"/>
        <v>-30.319370221152159</v>
      </c>
      <c r="I570" s="304">
        <f t="shared" ca="1" si="245"/>
        <v>36.622611135733734</v>
      </c>
      <c r="J570" s="306">
        <f t="shared" ca="1" si="246"/>
        <v>649.69541905877202</v>
      </c>
      <c r="K570" s="307">
        <f t="shared" ca="1" si="247"/>
        <v>2093.5379993269858</v>
      </c>
      <c r="L570" s="304">
        <f t="shared" ca="1" si="232"/>
        <v>2192.0322744366681</v>
      </c>
      <c r="M570" s="306">
        <f t="shared" ca="1" si="248"/>
        <v>-0.9753292946032176</v>
      </c>
      <c r="N570" s="304">
        <f t="shared" ca="1" si="249"/>
        <v>-55.882252216236068</v>
      </c>
      <c r="P570" s="310">
        <f t="shared" ca="1" si="250"/>
        <v>23</v>
      </c>
      <c r="Q570" s="304">
        <f t="shared" ca="1" si="251"/>
        <v>0</v>
      </c>
      <c r="R570" s="306">
        <f t="shared" ca="1" si="252"/>
        <v>0</v>
      </c>
      <c r="S570" s="307">
        <f t="shared" ca="1" si="253"/>
        <v>4.9929999999999914</v>
      </c>
      <c r="T570" s="304">
        <f t="shared" ca="1" si="233"/>
        <v>48.981329999999922</v>
      </c>
      <c r="U570" s="311">
        <f t="shared" ca="1" si="234"/>
        <v>0</v>
      </c>
      <c r="V570" s="306">
        <f t="shared" ca="1" si="235"/>
        <v>0.99284306350085905</v>
      </c>
      <c r="W570" s="304">
        <f t="shared" ca="1" si="236"/>
        <v>4.320376907631398</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7.2049494562058731</v>
      </c>
      <c r="AH570" s="304">
        <f t="shared" ca="1" si="260"/>
        <v>-0.83112403946870228</v>
      </c>
    </row>
    <row r="571" spans="1:34" x14ac:dyDescent="0.2">
      <c r="A571" s="347">
        <f t="shared" ca="1" si="238"/>
        <v>0.1</v>
      </c>
      <c r="B571" s="304">
        <f t="shared" ca="1" si="239"/>
        <v>20.699999999999982</v>
      </c>
      <c r="D571" s="306">
        <f t="shared" ca="1" si="240"/>
        <v>-0.48533543283699904</v>
      </c>
      <c r="E571" s="307">
        <f t="shared" ca="1" si="241"/>
        <v>-9.0936406387110083</v>
      </c>
      <c r="F571" s="304">
        <f t="shared" ca="1" si="242"/>
        <v>9.1065828140078668</v>
      </c>
      <c r="G571" s="306">
        <f t="shared" ca="1" si="243"/>
        <v>20.492922972549838</v>
      </c>
      <c r="H571" s="307">
        <f t="shared" ca="1" si="244"/>
        <v>-31.228734285023261</v>
      </c>
      <c r="I571" s="304">
        <f t="shared" ca="1" si="245"/>
        <v>37.352292259022711</v>
      </c>
      <c r="J571" s="306">
        <f t="shared" ca="1" si="246"/>
        <v>651.74713803319116</v>
      </c>
      <c r="K571" s="307">
        <f t="shared" ca="1" si="247"/>
        <v>2090.4605941016771</v>
      </c>
      <c r="L571" s="304">
        <f t="shared" ca="1" si="232"/>
        <v>2189.7031368261755</v>
      </c>
      <c r="M571" s="306">
        <f t="shared" ca="1" si="248"/>
        <v>-0.99006087654442798</v>
      </c>
      <c r="N571" s="304">
        <f t="shared" ca="1" si="249"/>
        <v>-56.726309687018563</v>
      </c>
      <c r="P571" s="310">
        <f t="shared" ca="1" si="250"/>
        <v>23</v>
      </c>
      <c r="Q571" s="304">
        <f t="shared" ca="1" si="251"/>
        <v>0</v>
      </c>
      <c r="R571" s="306">
        <f t="shared" ca="1" si="252"/>
        <v>0</v>
      </c>
      <c r="S571" s="307">
        <f t="shared" ca="1" si="253"/>
        <v>4.9929999999999914</v>
      </c>
      <c r="T571" s="304">
        <f t="shared" ca="1" si="233"/>
        <v>48.981329999999922</v>
      </c>
      <c r="U571" s="311">
        <f t="shared" ca="1" si="234"/>
        <v>0</v>
      </c>
      <c r="V571" s="306">
        <f t="shared" ca="1" si="235"/>
        <v>0.99315202952732351</v>
      </c>
      <c r="W571" s="304">
        <f t="shared" ca="1" si="236"/>
        <v>4.4956518499504785</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7.2562810857220734</v>
      </c>
      <c r="AH571" s="304">
        <f t="shared" ca="1" si="260"/>
        <v>-0.86528678302251261</v>
      </c>
    </row>
    <row r="572" spans="1:34" x14ac:dyDescent="0.2">
      <c r="A572" s="347">
        <f t="shared" ca="1" si="238"/>
        <v>0.1</v>
      </c>
      <c r="B572" s="304">
        <f t="shared" ca="1" si="239"/>
        <v>20.799999999999983</v>
      </c>
      <c r="D572" s="306">
        <f t="shared" ca="1" si="240"/>
        <v>-0.49398954112188959</v>
      </c>
      <c r="E572" s="307">
        <f t="shared" ca="1" si="241"/>
        <v>-9.0572197284916367</v>
      </c>
      <c r="F572" s="304">
        <f t="shared" ca="1" si="242"/>
        <v>9.070681059155147</v>
      </c>
      <c r="G572" s="306">
        <f t="shared" ca="1" si="243"/>
        <v>20.44352401843765</v>
      </c>
      <c r="H572" s="307">
        <f t="shared" ca="1" si="244"/>
        <v>-32.134456257872422</v>
      </c>
      <c r="I572" s="304">
        <f t="shared" ca="1" si="245"/>
        <v>38.086230494518006</v>
      </c>
      <c r="J572" s="306">
        <f t="shared" ca="1" si="246"/>
        <v>653.79396038274058</v>
      </c>
      <c r="K572" s="307">
        <f t="shared" ca="1" si="247"/>
        <v>2087.2924345745323</v>
      </c>
      <c r="L572" s="304">
        <f t="shared" ca="1" si="232"/>
        <v>2187.2897041921601</v>
      </c>
      <c r="M572" s="306">
        <f t="shared" ca="1" si="248"/>
        <v>-1.0041928274606957</v>
      </c>
      <c r="N572" s="304">
        <f t="shared" ca="1" si="249"/>
        <v>-57.536010830806738</v>
      </c>
      <c r="P572" s="310">
        <f t="shared" ca="1" si="250"/>
        <v>23</v>
      </c>
      <c r="Q572" s="304">
        <f t="shared" ca="1" si="251"/>
        <v>0</v>
      </c>
      <c r="R572" s="306">
        <f t="shared" ca="1" si="252"/>
        <v>0</v>
      </c>
      <c r="S572" s="307">
        <f t="shared" ca="1" si="253"/>
        <v>4.9929999999999914</v>
      </c>
      <c r="T572" s="304">
        <f t="shared" ca="1" si="233"/>
        <v>48.981329999999922</v>
      </c>
      <c r="U572" s="311">
        <f t="shared" ca="1" si="234"/>
        <v>0</v>
      </c>
      <c r="V572" s="306">
        <f t="shared" ca="1" si="235"/>
        <v>0.99347019706668194</v>
      </c>
      <c r="W572" s="304">
        <f t="shared" ca="1" si="236"/>
        <v>4.6755558070979903</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7.3013515945812326</v>
      </c>
      <c r="AH572" s="304">
        <f t="shared" ca="1" si="260"/>
        <v>-0.90039091727428122</v>
      </c>
    </row>
    <row r="573" spans="1:34" x14ac:dyDescent="0.2">
      <c r="A573" s="347">
        <f t="shared" ca="1" si="238"/>
        <v>0.1</v>
      </c>
      <c r="B573" s="304">
        <f t="shared" ca="1" si="239"/>
        <v>20.899999999999984</v>
      </c>
      <c r="D573" s="306">
        <f t="shared" ca="1" si="240"/>
        <v>-0.50264277971580096</v>
      </c>
      <c r="E573" s="307">
        <f t="shared" ca="1" si="241"/>
        <v>-9.0199134961494174</v>
      </c>
      <c r="F573" s="304">
        <f t="shared" ca="1" si="242"/>
        <v>9.0339077503602407</v>
      </c>
      <c r="G573" s="306">
        <f t="shared" ca="1" si="243"/>
        <v>20.393259740466071</v>
      </c>
      <c r="H573" s="307">
        <f t="shared" ca="1" si="244"/>
        <v>-33.036447607487361</v>
      </c>
      <c r="I573" s="304">
        <f t="shared" ca="1" si="245"/>
        <v>38.823857528127874</v>
      </c>
      <c r="J573" s="306">
        <f t="shared" ca="1" si="246"/>
        <v>655.83579957068582</v>
      </c>
      <c r="K573" s="307">
        <f t="shared" ca="1" si="247"/>
        <v>2084.0338893812645</v>
      </c>
      <c r="L573" s="304">
        <f t="shared" ca="1" si="232"/>
        <v>2184.7924038883243</v>
      </c>
      <c r="M573" s="306">
        <f t="shared" ca="1" si="248"/>
        <v>-1.0177563161130294</v>
      </c>
      <c r="N573" s="304">
        <f t="shared" ca="1" si="249"/>
        <v>-58.313141486059045</v>
      </c>
      <c r="P573" s="310">
        <f t="shared" ca="1" si="250"/>
        <v>23</v>
      </c>
      <c r="Q573" s="304">
        <f t="shared" ca="1" si="251"/>
        <v>0</v>
      </c>
      <c r="R573" s="306">
        <f t="shared" ca="1" si="252"/>
        <v>0</v>
      </c>
      <c r="S573" s="307">
        <f t="shared" ca="1" si="253"/>
        <v>4.9929999999999914</v>
      </c>
      <c r="T573" s="304">
        <f t="shared" ca="1" si="233"/>
        <v>48.981329999999922</v>
      </c>
      <c r="U573" s="311">
        <f t="shared" ca="1" si="234"/>
        <v>0</v>
      </c>
      <c r="V573" s="306">
        <f t="shared" ca="1" si="235"/>
        <v>0.99379753696451367</v>
      </c>
      <c r="W573" s="304">
        <f t="shared" ca="1" si="236"/>
        <v>4.8600160575101841</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7.3405591029081565</v>
      </c>
      <c r="AH573" s="304">
        <f t="shared" ca="1" si="260"/>
        <v>-0.93642215243300586</v>
      </c>
    </row>
    <row r="574" spans="1:34" x14ac:dyDescent="0.2">
      <c r="A574" s="347">
        <f t="shared" ca="1" si="238"/>
        <v>0.1</v>
      </c>
      <c r="B574" s="304">
        <f t="shared" ca="1" si="239"/>
        <v>20.999999999999986</v>
      </c>
      <c r="D574" s="306">
        <f t="shared" ca="1" si="240"/>
        <v>-0.51128623919186589</v>
      </c>
      <c r="E574" s="307">
        <f t="shared" ca="1" si="241"/>
        <v>-8.9817321669779666</v>
      </c>
      <c r="F574" s="304">
        <f t="shared" ca="1" si="242"/>
        <v>8.9962729136967425</v>
      </c>
      <c r="G574" s="306">
        <f t="shared" ca="1" si="243"/>
        <v>20.342131116546884</v>
      </c>
      <c r="H574" s="307">
        <f t="shared" ca="1" si="244"/>
        <v>-33.93462082418516</v>
      </c>
      <c r="I574" s="304">
        <f t="shared" ca="1" si="245"/>
        <v>39.564640638378179</v>
      </c>
      <c r="J574" s="306">
        <f t="shared" ca="1" si="246"/>
        <v>657.87256911353643</v>
      </c>
      <c r="K574" s="307">
        <f t="shared" ca="1" si="247"/>
        <v>2080.6853359596807</v>
      </c>
      <c r="L574" s="304">
        <f t="shared" ca="1" si="232"/>
        <v>2182.2116727003581</v>
      </c>
      <c r="M574" s="306">
        <f t="shared" ca="1" si="248"/>
        <v>-1.030780845110272</v>
      </c>
      <c r="N574" s="304">
        <f t="shared" ca="1" si="249"/>
        <v>-59.059392027746803</v>
      </c>
      <c r="P574" s="310">
        <f t="shared" ca="1" si="250"/>
        <v>23</v>
      </c>
      <c r="Q574" s="304">
        <f t="shared" ca="1" si="251"/>
        <v>0</v>
      </c>
      <c r="R574" s="306">
        <f t="shared" ca="1" si="252"/>
        <v>0</v>
      </c>
      <c r="S574" s="307">
        <f t="shared" ca="1" si="253"/>
        <v>4.9929999999999914</v>
      </c>
      <c r="T574" s="304">
        <f t="shared" ca="1" si="233"/>
        <v>48.981329999999922</v>
      </c>
      <c r="U574" s="311">
        <f t="shared" ca="1" si="234"/>
        <v>0</v>
      </c>
      <c r="V574" s="306">
        <f t="shared" ca="1" si="235"/>
        <v>0.99413401936853185</v>
      </c>
      <c r="W574" s="304">
        <f t="shared" ca="1" si="236"/>
        <v>5.0489585517874174</v>
      </c>
      <c r="Y574" s="314" t="str">
        <f t="shared" ca="1" si="254"/>
        <v/>
      </c>
      <c r="Z574" s="315" t="str">
        <f t="shared" ca="1" si="255"/>
        <v/>
      </c>
      <c r="AA574" s="316" t="str">
        <f t="shared" ca="1" si="256"/>
        <v/>
      </c>
      <c r="AC574" s="310">
        <f t="shared" ca="1" si="257"/>
        <v>20.999999999999986</v>
      </c>
      <c r="AD574" s="323">
        <f t="shared" ca="1" si="258"/>
        <v>657.87256911353643</v>
      </c>
      <c r="AE574" s="324" t="e">
        <f t="shared" ca="1" si="237"/>
        <v>#N/A</v>
      </c>
      <c r="AG574" s="306">
        <f t="shared" ca="1" si="259"/>
        <v>7.3742731740106739</v>
      </c>
      <c r="AH574" s="304">
        <f t="shared" ca="1" si="260"/>
        <v>-0.97336592379535192</v>
      </c>
    </row>
    <row r="575" spans="1:34" x14ac:dyDescent="0.2">
      <c r="A575" s="347">
        <f t="shared" ca="1" si="238"/>
        <v>0.1</v>
      </c>
      <c r="B575" s="304">
        <f t="shared" ca="1" si="239"/>
        <v>21.099999999999987</v>
      </c>
      <c r="D575" s="306">
        <f t="shared" ca="1" si="240"/>
        <v>-0.51991154726892297</v>
      </c>
      <c r="E575" s="307">
        <f t="shared" ca="1" si="241"/>
        <v>-8.9426866827470715</v>
      </c>
      <c r="F575" s="304">
        <f t="shared" ca="1" si="242"/>
        <v>8.9577872894351191</v>
      </c>
      <c r="G575" s="306">
        <f t="shared" ca="1" si="243"/>
        <v>20.290139961819992</v>
      </c>
      <c r="H575" s="307">
        <f t="shared" ca="1" si="244"/>
        <v>-34.828889492459865</v>
      </c>
      <c r="I575" s="304">
        <f t="shared" ca="1" si="245"/>
        <v>40.308080119849741</v>
      </c>
      <c r="J575" s="306">
        <f t="shared" ca="1" si="246"/>
        <v>659.90418266745473</v>
      </c>
      <c r="K575" s="307">
        <f t="shared" ca="1" si="247"/>
        <v>2077.2471604438483</v>
      </c>
      <c r="L575" s="304">
        <f t="shared" ca="1" si="232"/>
        <v>2179.5479567731545</v>
      </c>
      <c r="M575" s="306">
        <f t="shared" ca="1" si="248"/>
        <v>-1.0432943063364792</v>
      </c>
      <c r="N575" s="304">
        <f t="shared" ca="1" si="249"/>
        <v>-59.776360543109078</v>
      </c>
      <c r="P575" s="310">
        <f t="shared" ca="1" si="250"/>
        <v>23</v>
      </c>
      <c r="Q575" s="304">
        <f t="shared" ca="1" si="251"/>
        <v>0</v>
      </c>
      <c r="R575" s="306">
        <f t="shared" ca="1" si="252"/>
        <v>0</v>
      </c>
      <c r="S575" s="307">
        <f t="shared" ca="1" si="253"/>
        <v>4.9929999999999914</v>
      </c>
      <c r="T575" s="304">
        <f t="shared" ca="1" si="233"/>
        <v>48.981329999999922</v>
      </c>
      <c r="U575" s="311">
        <f t="shared" ca="1" si="234"/>
        <v>0</v>
      </c>
      <c r="V575" s="306">
        <f t="shared" ca="1" si="235"/>
        <v>0.99447961373527027</v>
      </c>
      <c r="W575" s="304">
        <f t="shared" ca="1" si="236"/>
        <v>5.2423079593750002</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7.4028366778808428</v>
      </c>
      <c r="AH575" s="304">
        <f t="shared" ca="1" si="260"/>
        <v>-1.011207400718491</v>
      </c>
    </row>
    <row r="576" spans="1:34" x14ac:dyDescent="0.2">
      <c r="A576" s="347">
        <f t="shared" ca="1" si="238"/>
        <v>0.1</v>
      </c>
      <c r="B576" s="304">
        <f t="shared" ca="1" si="239"/>
        <v>21.199999999999989</v>
      </c>
      <c r="D576" s="306">
        <f t="shared" ca="1" si="240"/>
        <v>-0.52851083306869129</v>
      </c>
      <c r="E576" s="307">
        <f t="shared" ca="1" si="241"/>
        <v>-8.9027886433925705</v>
      </c>
      <c r="F576" s="304">
        <f t="shared" ca="1" si="242"/>
        <v>8.9184622738222465</v>
      </c>
      <c r="G576" s="306">
        <f t="shared" ca="1" si="243"/>
        <v>20.237288878513123</v>
      </c>
      <c r="H576" s="307">
        <f t="shared" ca="1" si="244"/>
        <v>-35.719168356799123</v>
      </c>
      <c r="I576" s="304">
        <f t="shared" ca="1" si="245"/>
        <v>41.053706888096606</v>
      </c>
      <c r="J576" s="306">
        <f t="shared" ca="1" si="246"/>
        <v>661.93055410947136</v>
      </c>
      <c r="K576" s="307">
        <f t="shared" ca="1" si="247"/>
        <v>2073.7197575513856</v>
      </c>
      <c r="L576" s="304">
        <f t="shared" ca="1" si="232"/>
        <v>2176.8017115306229</v>
      </c>
      <c r="M576" s="306">
        <f t="shared" ca="1" si="248"/>
        <v>-1.0553230434326784</v>
      </c>
      <c r="N576" s="304">
        <f t="shared" ca="1" si="249"/>
        <v>-60.465556411593738</v>
      </c>
      <c r="P576" s="310">
        <f t="shared" ca="1" si="250"/>
        <v>23</v>
      </c>
      <c r="Q576" s="304">
        <f t="shared" ca="1" si="251"/>
        <v>0</v>
      </c>
      <c r="R576" s="306">
        <f t="shared" ca="1" si="252"/>
        <v>0</v>
      </c>
      <c r="S576" s="307">
        <f t="shared" ca="1" si="253"/>
        <v>4.9929999999999914</v>
      </c>
      <c r="T576" s="304">
        <f t="shared" ca="1" si="233"/>
        <v>48.981329999999922</v>
      </c>
      <c r="U576" s="311">
        <f t="shared" ca="1" si="234"/>
        <v>0</v>
      </c>
      <c r="V576" s="306">
        <f t="shared" ca="1" si="235"/>
        <v>0.99483428883739344</v>
      </c>
      <c r="W576" s="304">
        <f t="shared" ca="1" si="236"/>
        <v>5.4399877169269866</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7.4265676303875683</v>
      </c>
      <c r="AH576" s="304">
        <f t="shared" ca="1" si="260"/>
        <v>-1.0499314959693589</v>
      </c>
    </row>
    <row r="577" spans="1:34" x14ac:dyDescent="0.2">
      <c r="A577" s="347">
        <f t="shared" ca="1" si="238"/>
        <v>0.1</v>
      </c>
      <c r="B577" s="304">
        <f t="shared" ca="1" si="239"/>
        <v>21.29999999999999</v>
      </c>
      <c r="D577" s="306">
        <f t="shared" ca="1" si="240"/>
        <v>-0.53707669393998592</v>
      </c>
      <c r="E577" s="307">
        <f t="shared" ca="1" si="241"/>
        <v>-8.8620502540375412</v>
      </c>
      <c r="F577" s="304">
        <f t="shared" ca="1" si="242"/>
        <v>8.8783098661997801</v>
      </c>
      <c r="G577" s="306">
        <f t="shared" ca="1" si="243"/>
        <v>20.183581209119126</v>
      </c>
      <c r="H577" s="307">
        <f t="shared" ca="1" si="244"/>
        <v>-36.605373382202878</v>
      </c>
      <c r="I577" s="304">
        <f t="shared" ca="1" si="245"/>
        <v>41.801080259672638</v>
      </c>
      <c r="J577" s="306">
        <f t="shared" ca="1" si="246"/>
        <v>663.95159761385298</v>
      </c>
      <c r="K577" s="307">
        <f t="shared" ca="1" si="247"/>
        <v>2070.1035304644356</v>
      </c>
      <c r="L577" s="304">
        <f t="shared" ca="1" si="232"/>
        <v>2173.9734015887379</v>
      </c>
      <c r="M577" s="306">
        <f t="shared" ca="1" si="248"/>
        <v>-1.0668919188297044</v>
      </c>
      <c r="N577" s="304">
        <f t="shared" ca="1" si="249"/>
        <v>-61.128404145556061</v>
      </c>
      <c r="P577" s="310">
        <f t="shared" ca="1" si="250"/>
        <v>23</v>
      </c>
      <c r="Q577" s="304">
        <f t="shared" ca="1" si="251"/>
        <v>0</v>
      </c>
      <c r="R577" s="306">
        <f t="shared" ca="1" si="252"/>
        <v>0</v>
      </c>
      <c r="S577" s="307">
        <f t="shared" ca="1" si="253"/>
        <v>4.9929999999999914</v>
      </c>
      <c r="T577" s="304">
        <f t="shared" ca="1" si="233"/>
        <v>48.981329999999922</v>
      </c>
      <c r="U577" s="311">
        <f t="shared" ca="1" si="234"/>
        <v>0</v>
      </c>
      <c r="V577" s="306">
        <f t="shared" ca="1" si="235"/>
        <v>0.99519801277157227</v>
      </c>
      <c r="W577" s="304">
        <f t="shared" ca="1" si="236"/>
        <v>5.6419200781706049</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7.4457609793533877</v>
      </c>
      <c r="AH577" s="304">
        <f t="shared" ca="1" si="260"/>
        <v>-1.0895228754109745</v>
      </c>
    </row>
    <row r="578" spans="1:34" x14ac:dyDescent="0.2">
      <c r="A578" s="347">
        <f t="shared" ca="1" si="238"/>
        <v>0.1</v>
      </c>
      <c r="B578" s="304">
        <f t="shared" ca="1" si="239"/>
        <v>21.399999999999991</v>
      </c>
      <c r="D578" s="306">
        <f t="shared" ca="1" si="240"/>
        <v>-0.54560216474730183</v>
      </c>
      <c r="E578" s="307">
        <f t="shared" ca="1" si="241"/>
        <v>-8.8204842767105358</v>
      </c>
      <c r="F578" s="304">
        <f t="shared" ca="1" si="242"/>
        <v>8.8373426208263943</v>
      </c>
      <c r="G578" s="306">
        <f t="shared" ca="1" si="243"/>
        <v>20.129020992644396</v>
      </c>
      <c r="H578" s="307">
        <f t="shared" ca="1" si="244"/>
        <v>-37.487421809873929</v>
      </c>
      <c r="I578" s="304">
        <f t="shared" ca="1" si="245"/>
        <v>42.549785899270162</v>
      </c>
      <c r="J578" s="306">
        <f t="shared" ca="1" si="246"/>
        <v>665.96722772394116</v>
      </c>
      <c r="K578" s="307">
        <f t="shared" ca="1" si="247"/>
        <v>2066.398890704832</v>
      </c>
      <c r="L578" s="304">
        <f t="shared" ca="1" si="232"/>
        <v>2171.0635006623993</v>
      </c>
      <c r="M578" s="306">
        <f t="shared" ca="1" si="248"/>
        <v>-1.0780243833527841</v>
      </c>
      <c r="N578" s="304">
        <f t="shared" ca="1" si="249"/>
        <v>-61.766247378307646</v>
      </c>
      <c r="P578" s="310">
        <f t="shared" ca="1" si="250"/>
        <v>23</v>
      </c>
      <c r="Q578" s="304">
        <f t="shared" ca="1" si="251"/>
        <v>0</v>
      </c>
      <c r="R578" s="306">
        <f t="shared" ca="1" si="252"/>
        <v>0</v>
      </c>
      <c r="S578" s="307">
        <f t="shared" ca="1" si="253"/>
        <v>4.9929999999999914</v>
      </c>
      <c r="T578" s="304">
        <f t="shared" ca="1" si="233"/>
        <v>48.981329999999922</v>
      </c>
      <c r="U578" s="311">
        <f t="shared" ca="1" si="234"/>
        <v>0</v>
      </c>
      <c r="V578" s="306">
        <f t="shared" ca="1" si="235"/>
        <v>0.99557075296688202</v>
      </c>
      <c r="W578" s="304">
        <f t="shared" ca="1" si="236"/>
        <v>5.848026165101941</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7.4606903176533566</v>
      </c>
      <c r="AH578" s="304">
        <f t="shared" ca="1" si="260"/>
        <v>-1.1299659679893079</v>
      </c>
    </row>
    <row r="579" spans="1:34" x14ac:dyDescent="0.2">
      <c r="A579" s="347">
        <f t="shared" ca="1" si="238"/>
        <v>0.1</v>
      </c>
      <c r="B579" s="304">
        <f t="shared" ca="1" si="239"/>
        <v>21.499999999999993</v>
      </c>
      <c r="D579" s="306">
        <f t="shared" ca="1" si="240"/>
        <v>-0.55408068950051736</v>
      </c>
      <c r="E579" s="307">
        <f t="shared" ca="1" si="241"/>
        <v>-8.7781039861997314</v>
      </c>
      <c r="F579" s="304">
        <f t="shared" ca="1" si="242"/>
        <v>8.7955736028421132</v>
      </c>
      <c r="G579" s="306">
        <f t="shared" ca="1" si="243"/>
        <v>20.073612923694345</v>
      </c>
      <c r="H579" s="307">
        <f t="shared" ca="1" si="244"/>
        <v>-38.3652322084939</v>
      </c>
      <c r="I579" s="304">
        <f t="shared" ca="1" si="245"/>
        <v>43.299433924959878</v>
      </c>
      <c r="J579" s="306">
        <f t="shared" ca="1" si="246"/>
        <v>667.97735941975805</v>
      </c>
      <c r="K579" s="307">
        <f t="shared" ca="1" si="247"/>
        <v>2062.6062580039134</v>
      </c>
      <c r="L579" s="304">
        <f t="shared" ca="1" si="232"/>
        <v>2168.0724914666248</v>
      </c>
      <c r="M579" s="306">
        <f t="shared" ca="1" si="248"/>
        <v>-1.0887425468510763</v>
      </c>
      <c r="N579" s="304">
        <f t="shared" ca="1" si="249"/>
        <v>-62.38035291089097</v>
      </c>
      <c r="P579" s="310">
        <f t="shared" ca="1" si="250"/>
        <v>23</v>
      </c>
      <c r="Q579" s="304">
        <f t="shared" ca="1" si="251"/>
        <v>0</v>
      </c>
      <c r="R579" s="306">
        <f t="shared" ca="1" si="252"/>
        <v>0</v>
      </c>
      <c r="S579" s="307">
        <f t="shared" ca="1" si="253"/>
        <v>4.9929999999999914</v>
      </c>
      <c r="T579" s="304">
        <f t="shared" ca="1" si="233"/>
        <v>48.981329999999922</v>
      </c>
      <c r="U579" s="311">
        <f t="shared" ca="1" si="234"/>
        <v>0</v>
      </c>
      <c r="V579" s="306">
        <f t="shared" ca="1" si="235"/>
        <v>0.99595247619368121</v>
      </c>
      <c r="W579" s="304">
        <f t="shared" ca="1" si="236"/>
        <v>6.0582260203548266</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7.4716095104131508</v>
      </c>
      <c r="AH579" s="304">
        <f t="shared" ca="1" si="260"/>
        <v>-1.1712449759867716</v>
      </c>
    </row>
    <row r="580" spans="1:34" x14ac:dyDescent="0.2">
      <c r="A580" s="347">
        <f t="shared" ca="1" si="238"/>
        <v>0.1</v>
      </c>
      <c r="B580" s="304">
        <f t="shared" ca="1" si="239"/>
        <v>21.599999999999994</v>
      </c>
      <c r="D580" s="306">
        <f t="shared" ca="1" si="240"/>
        <v>-0.56250609519014205</v>
      </c>
      <c r="E580" s="307">
        <f t="shared" ca="1" si="241"/>
        <v>-8.734923129548358</v>
      </c>
      <c r="F580" s="304">
        <f t="shared" ca="1" si="242"/>
        <v>8.753016347879452</v>
      </c>
      <c r="G580" s="306">
        <f t="shared" ca="1" si="243"/>
        <v>20.01736231417533</v>
      </c>
      <c r="H580" s="307">
        <f t="shared" ca="1" si="244"/>
        <v>-39.238724521448738</v>
      </c>
      <c r="I580" s="304">
        <f t="shared" ca="1" si="245"/>
        <v>44.04965716197016</v>
      </c>
      <c r="J580" s="306">
        <f t="shared" ca="1" si="246"/>
        <v>669.98190818165153</v>
      </c>
      <c r="K580" s="307">
        <f t="shared" ca="1" si="247"/>
        <v>2058.7260601674161</v>
      </c>
      <c r="L580" s="304">
        <f t="shared" ref="L580:L643" ca="1" si="261">SQRT(pos_x^2+pos_z^2)</f>
        <v>2165.0008656125701</v>
      </c>
      <c r="M580" s="306">
        <f t="shared" ca="1" si="248"/>
        <v>-1.099067248659839</v>
      </c>
      <c r="N580" s="304">
        <f t="shared" ca="1" si="249"/>
        <v>-62.971914749264158</v>
      </c>
      <c r="P580" s="310">
        <f t="shared" ca="1" si="250"/>
        <v>23</v>
      </c>
      <c r="Q580" s="304">
        <f t="shared" ca="1" si="251"/>
        <v>0</v>
      </c>
      <c r="R580" s="306">
        <f t="shared" ca="1" si="252"/>
        <v>0</v>
      </c>
      <c r="S580" s="307">
        <f t="shared" ca="1" si="253"/>
        <v>4.9929999999999914</v>
      </c>
      <c r="T580" s="304">
        <f t="shared" ref="T580:T643" ca="1" si="262">m*g</f>
        <v>48.981329999999922</v>
      </c>
      <c r="U580" s="311">
        <f t="shared" ref="U580:U643" ca="1" si="263">IF(pos_xz&lt;L_rampe,Poids*COS(Beta),0)</f>
        <v>0</v>
      </c>
      <c r="V580" s="306">
        <f t="shared" ref="V580:V643" ca="1" si="264">Rho_moyen*(20000-Alt_rampe-pos_z)/(20000+Alt_rampe+pos_z)</f>
        <v>0.99634314857292861</v>
      </c>
      <c r="W580" s="304">
        <f t="shared" ref="W580:W643" ca="1" si="265">1/2*Rho*Sref*Cx*vit_xz^2</f>
        <v>6.2724386605950349</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7.4787542286951814</v>
      </c>
      <c r="AH580" s="304">
        <f t="shared" ca="1" si="260"/>
        <v>-1.2133438855106824</v>
      </c>
    </row>
    <row r="581" spans="1:34" x14ac:dyDescent="0.2">
      <c r="A581" s="347">
        <f t="shared" ref="A581:A644" ca="1" si="267">IF(B580+0.01&lt;=T_ini+ROUNDUP(Temps_fin_propu,0), 0.01, IF(K580&gt;0, 0.1, 0.0001))</f>
        <v>0.1</v>
      </c>
      <c r="B581" s="304">
        <f t="shared" ref="B581:B644" ca="1" si="268">B580+pas</f>
        <v>21.699999999999996</v>
      </c>
      <c r="D581" s="306">
        <f t="shared" ref="D581:D644" ca="1" si="269">IF(AND(L580&lt;L_rampe,Poussee&lt;Poids*SIN(M580)),0,(-W580+Poussee)/m*COS(M580)-U580/m*SIN(M580))</f>
        <v>-0.5708725676864107</v>
      </c>
      <c r="E581" s="307">
        <f t="shared" ref="E581:E644" ca="1" si="270">IF(AND(L580&lt;L_rampe,Poussee&lt;Poids*SIN(M580)),0,(-W580+Poussee)/m*SIN(M580)+U580/m*COS(M580)-Poids/m)</f>
        <v>-8.6909558887568146</v>
      </c>
      <c r="F581" s="304">
        <f t="shared" ref="F581:F644" ca="1" si="271">SQRT(acc_x^2+acc_z^2)</f>
        <v>8.7096848248862386</v>
      </c>
      <c r="G581" s="306">
        <f t="shared" ref="G581:G644" ca="1" si="272">G580+acc_x*pas</f>
        <v>19.96027505740669</v>
      </c>
      <c r="H581" s="307">
        <f t="shared" ref="H581:H644" ca="1" si="273">H580+acc_z*pas</f>
        <v>-40.107820110324418</v>
      </c>
      <c r="I581" s="304">
        <f t="shared" ref="I581:I644" ca="1" si="274">SQRT(vit_x^2+vit_z^2)</f>
        <v>44.800109535239706</v>
      </c>
      <c r="J581" s="306">
        <f t="shared" ref="J581:J644" ca="1" si="275">J580+0.5*(vit_x+G580)*pas*(K580&gt;=0)</f>
        <v>671.98079005023067</v>
      </c>
      <c r="K581" s="307">
        <f t="shared" ref="K581:K644" ca="1" si="276">K580+0.5*(vit_z+H580)*pas</f>
        <v>2054.7587329358275</v>
      </c>
      <c r="L581" s="304">
        <f t="shared" ca="1" si="261"/>
        <v>2161.8491234988114</v>
      </c>
      <c r="M581" s="306">
        <f t="shared" ref="M581:M644" ca="1" si="277">IF(AND(L580&gt;L_rampe,G581&gt;0),ATAN2(G581,H581),$M$4)</f>
        <v>-1.1090181269913106</v>
      </c>
      <c r="N581" s="304">
        <f t="shared" ref="N581:N644" ca="1" si="278">DEGREES(Beta)</f>
        <v>-63.542058080105669</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4.9929999999999914</v>
      </c>
      <c r="T581" s="304">
        <f t="shared" ca="1" si="262"/>
        <v>48.981329999999922</v>
      </c>
      <c r="U581" s="311">
        <f t="shared" ca="1" si="263"/>
        <v>0</v>
      </c>
      <c r="V581" s="306">
        <f t="shared" ca="1" si="264"/>
        <v>0.9967427355859062</v>
      </c>
      <c r="W581" s="304">
        <f t="shared" ca="1" si="265"/>
        <v>6.4905821308010223</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7.4823433860670594</v>
      </c>
      <c r="AH581" s="304">
        <f t="shared" ref="AH581:AH644" ca="1" si="289">IF(AND(L580&lt;L_rampe,Poussee&lt;Poids*SIN(M580)), g*SIN(M580), (-W580+Poussee)/m)</f>
        <v>-1.2562464771870709</v>
      </c>
    </row>
    <row r="582" spans="1:34" x14ac:dyDescent="0.2">
      <c r="A582" s="347">
        <f t="shared" ca="1" si="267"/>
        <v>0.1</v>
      </c>
      <c r="B582" s="304">
        <f t="shared" ca="1" si="268"/>
        <v>21.799999999999997</v>
      </c>
      <c r="D582" s="306">
        <f t="shared" ca="1" si="269"/>
        <v>-0.57917462955905352</v>
      </c>
      <c r="E582" s="307">
        <f t="shared" ca="1" si="270"/>
        <v>-8.6462168463105158</v>
      </c>
      <c r="F582" s="304">
        <f t="shared" ca="1" si="271"/>
        <v>8.6655934017785885</v>
      </c>
      <c r="G582" s="306">
        <f t="shared" ca="1" si="272"/>
        <v>19.902357594450784</v>
      </c>
      <c r="H582" s="307">
        <f t="shared" ca="1" si="273"/>
        <v>-40.972441794955472</v>
      </c>
      <c r="I582" s="304">
        <f t="shared" ca="1" si="274"/>
        <v>45.55046459102703</v>
      </c>
      <c r="J582" s="306">
        <f t="shared" ca="1" si="275"/>
        <v>673.97392168282352</v>
      </c>
      <c r="K582" s="307">
        <f t="shared" ca="1" si="276"/>
        <v>2050.7047198405635</v>
      </c>
      <c r="L582" s="304">
        <f t="shared" ca="1" si="261"/>
        <v>2158.6177741983151</v>
      </c>
      <c r="M582" s="306">
        <f t="shared" ca="1" si="277"/>
        <v>-1.1186136865834988</v>
      </c>
      <c r="N582" s="304">
        <f t="shared" ca="1" si="278"/>
        <v>-64.091843146804322</v>
      </c>
      <c r="P582" s="310">
        <f t="shared" ca="1" si="279"/>
        <v>23</v>
      </c>
      <c r="Q582" s="304">
        <f t="shared" ca="1" si="280"/>
        <v>0</v>
      </c>
      <c r="R582" s="306">
        <f t="shared" ca="1" si="281"/>
        <v>0</v>
      </c>
      <c r="S582" s="307">
        <f t="shared" ca="1" si="282"/>
        <v>4.9929999999999914</v>
      </c>
      <c r="T582" s="304">
        <f t="shared" ca="1" si="262"/>
        <v>48.981329999999922</v>
      </c>
      <c r="U582" s="311">
        <f t="shared" ca="1" si="263"/>
        <v>0</v>
      </c>
      <c r="V582" s="306">
        <f t="shared" ca="1" si="264"/>
        <v>0.99715120208431562</v>
      </c>
      <c r="W582" s="304">
        <f t="shared" ca="1" si="265"/>
        <v>6.7125735593005853</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7.4825804774143334</v>
      </c>
      <c r="AH582" s="304">
        <f t="shared" ca="1" si="289"/>
        <v>-1.2999363370320516</v>
      </c>
    </row>
    <row r="583" spans="1:34" x14ac:dyDescent="0.2">
      <c r="A583" s="347">
        <f t="shared" ca="1" si="267"/>
        <v>0.1</v>
      </c>
      <c r="B583" s="304">
        <f t="shared" ca="1" si="268"/>
        <v>21.9</v>
      </c>
      <c r="D583" s="306">
        <f t="shared" ca="1" si="269"/>
        <v>-0.587407119676435</v>
      </c>
      <c r="E583" s="307">
        <f t="shared" ca="1" si="270"/>
        <v>-8.600720953200252</v>
      </c>
      <c r="F583" s="304">
        <f t="shared" ca="1" si="271"/>
        <v>8.620756813590349</v>
      </c>
      <c r="G583" s="306">
        <f t="shared" ca="1" si="272"/>
        <v>19.84361688248314</v>
      </c>
      <c r="H583" s="307">
        <f t="shared" ca="1" si="273"/>
        <v>-41.8325138902755</v>
      </c>
      <c r="I583" s="304">
        <f t="shared" ca="1" si="274"/>
        <v>46.300414138092357</v>
      </c>
      <c r="J583" s="306">
        <f t="shared" ca="1" si="275"/>
        <v>675.96122040667024</v>
      </c>
      <c r="K583" s="307">
        <f t="shared" ca="1" si="276"/>
        <v>2046.5644720563018</v>
      </c>
      <c r="L583" s="304">
        <f t="shared" ca="1" si="261"/>
        <v>2155.3073353414738</v>
      </c>
      <c r="M583" s="306">
        <f t="shared" ca="1" si="277"/>
        <v>-1.1278713641231177</v>
      </c>
      <c r="N583" s="304">
        <f t="shared" ca="1" si="278"/>
        <v>-64.622268997917544</v>
      </c>
      <c r="P583" s="310">
        <f t="shared" ca="1" si="279"/>
        <v>23</v>
      </c>
      <c r="Q583" s="304">
        <f t="shared" ca="1" si="280"/>
        <v>0</v>
      </c>
      <c r="R583" s="306">
        <f t="shared" ca="1" si="281"/>
        <v>0</v>
      </c>
      <c r="S583" s="307">
        <f t="shared" ca="1" si="282"/>
        <v>4.9929999999999914</v>
      </c>
      <c r="T583" s="304">
        <f t="shared" ca="1" si="262"/>
        <v>48.981329999999922</v>
      </c>
      <c r="U583" s="311">
        <f t="shared" ca="1" si="263"/>
        <v>0</v>
      </c>
      <c r="V583" s="306">
        <f t="shared" ca="1" si="264"/>
        <v>0.99756851230071619</v>
      </c>
      <c r="W583" s="304">
        <f t="shared" ca="1" si="265"/>
        <v>6.938329213440154</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7.4796548215106302</v>
      </c>
      <c r="AH583" s="304">
        <f t="shared" ca="1" si="289"/>
        <v>-1.3443968674745839</v>
      </c>
    </row>
    <row r="584" spans="1:34" x14ac:dyDescent="0.2">
      <c r="A584" s="347">
        <f t="shared" ca="1" si="267"/>
        <v>0.1</v>
      </c>
      <c r="B584" s="304">
        <f t="shared" ca="1" si="268"/>
        <v>22</v>
      </c>
      <c r="D584" s="306">
        <f t="shared" ca="1" si="269"/>
        <v>-0.59556517444701074</v>
      </c>
      <c r="E584" s="307">
        <f t="shared" ca="1" si="270"/>
        <v>-8.5544834991441689</v>
      </c>
      <c r="F584" s="304">
        <f t="shared" ca="1" si="271"/>
        <v>8.5751901328276077</v>
      </c>
      <c r="G584" s="306">
        <f t="shared" ca="1" si="272"/>
        <v>19.784060365038439</v>
      </c>
      <c r="H584" s="307">
        <f t="shared" ca="1" si="273"/>
        <v>-42.687962240189918</v>
      </c>
      <c r="I584" s="304">
        <f t="shared" ca="1" si="274"/>
        <v>47.049666999324927</v>
      </c>
      <c r="J584" s="306">
        <f t="shared" ca="1" si="275"/>
        <v>677.94260426904634</v>
      </c>
      <c r="K584" s="307">
        <f t="shared" ca="1" si="276"/>
        <v>2042.3384482497786</v>
      </c>
      <c r="L584" s="304">
        <f t="shared" ca="1" si="261"/>
        <v>2151.9183329955649</v>
      </c>
      <c r="M584" s="306">
        <f t="shared" ca="1" si="277"/>
        <v>-1.1368075911079467</v>
      </c>
      <c r="N584" s="304">
        <f t="shared" ca="1" si="278"/>
        <v>-65.134277088919163</v>
      </c>
      <c r="P584" s="310">
        <f t="shared" ca="1" si="279"/>
        <v>23</v>
      </c>
      <c r="Q584" s="304">
        <f t="shared" ca="1" si="280"/>
        <v>0</v>
      </c>
      <c r="R584" s="306">
        <f t="shared" ca="1" si="281"/>
        <v>0</v>
      </c>
      <c r="S584" s="307">
        <f t="shared" ca="1" si="282"/>
        <v>4.9929999999999914</v>
      </c>
      <c r="T584" s="304">
        <f t="shared" ca="1" si="262"/>
        <v>48.981329999999922</v>
      </c>
      <c r="U584" s="311">
        <f t="shared" ca="1" si="263"/>
        <v>0</v>
      </c>
      <c r="V584" s="306">
        <f t="shared" ca="1" si="264"/>
        <v>0.99799462985928034</v>
      </c>
      <c r="W584" s="304">
        <f t="shared" ca="1" si="265"/>
        <v>7.1677645557701588</v>
      </c>
      <c r="Y584" s="314" t="str">
        <f t="shared" ca="1" si="283"/>
        <v/>
      </c>
      <c r="Z584" s="315" t="str">
        <f t="shared" ca="1" si="284"/>
        <v/>
      </c>
      <c r="AA584" s="316" t="str">
        <f t="shared" ca="1" si="285"/>
        <v/>
      </c>
      <c r="AC584" s="310">
        <f t="shared" ca="1" si="286"/>
        <v>22</v>
      </c>
      <c r="AD584" s="323">
        <f t="shared" ca="1" si="287"/>
        <v>677.94260426904634</v>
      </c>
      <c r="AE584" s="324" t="e">
        <f t="shared" ca="1" si="266"/>
        <v>#N/A</v>
      </c>
      <c r="AG584" s="306">
        <f t="shared" ca="1" si="288"/>
        <v>7.4737427103727123</v>
      </c>
      <c r="AH584" s="304">
        <f t="shared" ca="1" si="289"/>
        <v>-1.3896112985059415</v>
      </c>
    </row>
    <row r="585" spans="1:34" x14ac:dyDescent="0.2">
      <c r="A585" s="347">
        <f t="shared" ca="1" si="267"/>
        <v>0.1</v>
      </c>
      <c r="B585" s="304">
        <f t="shared" ca="1" si="268"/>
        <v>22.1</v>
      </c>
      <c r="D585" s="306">
        <f t="shared" ca="1" si="269"/>
        <v>-0.60364421057191275</v>
      </c>
      <c r="E585" s="307">
        <f t="shared" ca="1" si="270"/>
        <v>-8.5075200847577381</v>
      </c>
      <c r="F585" s="304">
        <f t="shared" ca="1" si="271"/>
        <v>8.528908741774254</v>
      </c>
      <c r="G585" s="306">
        <f t="shared" ca="1" si="272"/>
        <v>19.723695943981248</v>
      </c>
      <c r="H585" s="307">
        <f t="shared" ca="1" si="273"/>
        <v>-43.538714248665691</v>
      </c>
      <c r="I585" s="304">
        <f t="shared" ca="1" si="274"/>
        <v>47.797947865128975</v>
      </c>
      <c r="J585" s="306">
        <f t="shared" ca="1" si="275"/>
        <v>679.91799208449731</v>
      </c>
      <c r="K585" s="307">
        <f t="shared" ca="1" si="276"/>
        <v>2038.0271144253359</v>
      </c>
      <c r="L585" s="304">
        <f t="shared" ca="1" si="261"/>
        <v>2148.4513015409671</v>
      </c>
      <c r="M585" s="306">
        <f t="shared" ca="1" si="277"/>
        <v>-1.1454378539316437</v>
      </c>
      <c r="N585" s="304">
        <f t="shared" ca="1" si="278"/>
        <v>-65.628754724805646</v>
      </c>
      <c r="P585" s="310">
        <f t="shared" ca="1" si="279"/>
        <v>23</v>
      </c>
      <c r="Q585" s="304">
        <f t="shared" ca="1" si="280"/>
        <v>0</v>
      </c>
      <c r="R585" s="306">
        <f t="shared" ca="1" si="281"/>
        <v>0</v>
      </c>
      <c r="S585" s="307">
        <f t="shared" ca="1" si="282"/>
        <v>4.9929999999999914</v>
      </c>
      <c r="T585" s="304">
        <f t="shared" ca="1" si="262"/>
        <v>48.981329999999922</v>
      </c>
      <c r="U585" s="311">
        <f t="shared" ca="1" si="263"/>
        <v>0</v>
      </c>
      <c r="V585" s="306">
        <f t="shared" ca="1" si="264"/>
        <v>0.99842951778683875</v>
      </c>
      <c r="W585" s="304">
        <f t="shared" ca="1" si="265"/>
        <v>7.4007943006358712</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7.4650084694515346</v>
      </c>
      <c r="AH585" s="304">
        <f t="shared" ca="1" si="289"/>
        <v>-1.4355626989325398</v>
      </c>
    </row>
    <row r="586" spans="1:34" x14ac:dyDescent="0.2">
      <c r="A586" s="347">
        <f t="shared" ca="1" si="267"/>
        <v>0.1</v>
      </c>
      <c r="B586" s="304">
        <f t="shared" ca="1" si="268"/>
        <v>22.200000000000003</v>
      </c>
      <c r="D586" s="306">
        <f t="shared" ca="1" si="269"/>
        <v>-0.61163990918436084</v>
      </c>
      <c r="E586" s="307">
        <f t="shared" ca="1" si="270"/>
        <v>-8.459846595450891</v>
      </c>
      <c r="F586" s="304">
        <f t="shared" ca="1" si="271"/>
        <v>8.4819283065273012</v>
      </c>
      <c r="G586" s="306">
        <f t="shared" ca="1" si="272"/>
        <v>19.66253195306281</v>
      </c>
      <c r="H586" s="307">
        <f t="shared" ca="1" si="273"/>
        <v>-44.38469890821078</v>
      </c>
      <c r="I586" s="304">
        <f t="shared" ca="1" si="274"/>
        <v>48.544996240372122</v>
      </c>
      <c r="J586" s="306">
        <f t="shared" ca="1" si="275"/>
        <v>681.8873034793495</v>
      </c>
      <c r="K586" s="307">
        <f t="shared" ca="1" si="276"/>
        <v>2033.630943767492</v>
      </c>
      <c r="L586" s="304">
        <f t="shared" ca="1" si="261"/>
        <v>2144.9067835444503</v>
      </c>
      <c r="M586" s="306">
        <f t="shared" ca="1" si="277"/>
        <v>-1.1537767510662895</v>
      </c>
      <c r="N586" s="304">
        <f t="shared" ca="1" si="278"/>
        <v>-66.106538336414587</v>
      </c>
      <c r="P586" s="310">
        <f t="shared" ca="1" si="279"/>
        <v>23</v>
      </c>
      <c r="Q586" s="304">
        <f t="shared" ca="1" si="280"/>
        <v>0</v>
      </c>
      <c r="R586" s="306">
        <f t="shared" ca="1" si="281"/>
        <v>0</v>
      </c>
      <c r="S586" s="307">
        <f t="shared" ca="1" si="282"/>
        <v>4.9929999999999914</v>
      </c>
      <c r="T586" s="304">
        <f t="shared" ca="1" si="262"/>
        <v>48.981329999999922</v>
      </c>
      <c r="U586" s="311">
        <f t="shared" ca="1" si="263"/>
        <v>0</v>
      </c>
      <c r="V586" s="306">
        <f t="shared" ca="1" si="264"/>
        <v>0.99887313852419335</v>
      </c>
      <c r="W586" s="304">
        <f t="shared" ca="1" si="265"/>
        <v>7.6373324710687465</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7.4536054333588249</v>
      </c>
      <c r="AH586" s="304">
        <f t="shared" ca="1" si="289"/>
        <v>-1.4822339877099708</v>
      </c>
    </row>
    <row r="587" spans="1:34" x14ac:dyDescent="0.2">
      <c r="A587" s="347">
        <f t="shared" ca="1" si="267"/>
        <v>0.1</v>
      </c>
      <c r="B587" s="304">
        <f t="shared" ca="1" si="268"/>
        <v>22.300000000000004</v>
      </c>
      <c r="D587" s="306">
        <f t="shared" ca="1" si="269"/>
        <v>-0.61954820125909171</v>
      </c>
      <c r="E587" s="307">
        <f t="shared" ca="1" si="270"/>
        <v>-8.4114791768602846</v>
      </c>
      <c r="F587" s="304">
        <f t="shared" ca="1" si="271"/>
        <v>8.4342647525695771</v>
      </c>
      <c r="G587" s="306">
        <f t="shared" ca="1" si="272"/>
        <v>19.600577132936902</v>
      </c>
      <c r="H587" s="307">
        <f t="shared" ca="1" si="273"/>
        <v>-45.225846825896809</v>
      </c>
      <c r="I587" s="304">
        <f t="shared" ca="1" si="274"/>
        <v>49.290565477215715</v>
      </c>
      <c r="J587" s="306">
        <f t="shared" ca="1" si="275"/>
        <v>683.85045893364952</v>
      </c>
      <c r="K587" s="307">
        <f t="shared" ca="1" si="276"/>
        <v>2029.1504164807866</v>
      </c>
      <c r="L587" s="304">
        <f t="shared" ca="1" si="261"/>
        <v>2141.2853296298258</v>
      </c>
      <c r="M587" s="306">
        <f t="shared" ca="1" si="277"/>
        <v>-1.1618380472894259</v>
      </c>
      <c r="N587" s="304">
        <f t="shared" ca="1" si="278"/>
        <v>-66.568416587405054</v>
      </c>
      <c r="P587" s="310">
        <f t="shared" ca="1" si="279"/>
        <v>23</v>
      </c>
      <c r="Q587" s="304">
        <f t="shared" ca="1" si="280"/>
        <v>0</v>
      </c>
      <c r="R587" s="306">
        <f t="shared" ca="1" si="281"/>
        <v>0</v>
      </c>
      <c r="S587" s="307">
        <f t="shared" ca="1" si="282"/>
        <v>4.9929999999999914</v>
      </c>
      <c r="T587" s="304">
        <f t="shared" ca="1" si="262"/>
        <v>48.981329999999922</v>
      </c>
      <c r="U587" s="311">
        <f t="shared" ca="1" si="263"/>
        <v>0</v>
      </c>
      <c r="V587" s="306">
        <f t="shared" ca="1" si="264"/>
        <v>0.99932545393767758</v>
      </c>
      <c r="W587" s="304">
        <f t="shared" ca="1" si="265"/>
        <v>7.8772924558784156</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7.4396768421943644</v>
      </c>
      <c r="AH587" s="304">
        <f t="shared" ca="1" si="289"/>
        <v>-1.529607945337224</v>
      </c>
    </row>
    <row r="588" spans="1:34" x14ac:dyDescent="0.2">
      <c r="A588" s="347">
        <f t="shared" ca="1" si="267"/>
        <v>0.1</v>
      </c>
      <c r="B588" s="304">
        <f t="shared" ca="1" si="268"/>
        <v>22.400000000000006</v>
      </c>
      <c r="D588" s="306">
        <f t="shared" ca="1" si="269"/>
        <v>-0.62736525418274369</v>
      </c>
      <c r="E588" s="307">
        <f t="shared" ca="1" si="270"/>
        <v>-8.3624342116498056</v>
      </c>
      <c r="F588" s="304">
        <f t="shared" ca="1" si="271"/>
        <v>8.3859342417125404</v>
      </c>
      <c r="G588" s="306">
        <f t="shared" ca="1" si="272"/>
        <v>19.537840607518628</v>
      </c>
      <c r="H588" s="307">
        <f t="shared" ca="1" si="273"/>
        <v>-46.062090247061789</v>
      </c>
      <c r="I588" s="304">
        <f t="shared" ca="1" si="274"/>
        <v>50.034421886669868</v>
      </c>
      <c r="J588" s="306">
        <f t="shared" ca="1" si="275"/>
        <v>685.80737982067228</v>
      </c>
      <c r="K588" s="307">
        <f t="shared" ca="1" si="276"/>
        <v>2024.5860196271387</v>
      </c>
      <c r="L588" s="304">
        <f t="shared" ca="1" si="261"/>
        <v>2137.5874983462445</v>
      </c>
      <c r="M588" s="306">
        <f t="shared" ca="1" si="277"/>
        <v>-1.1696347249570489</v>
      </c>
      <c r="N588" s="304">
        <f t="shared" ca="1" si="278"/>
        <v>-67.01513331198376</v>
      </c>
      <c r="P588" s="310">
        <f t="shared" ca="1" si="279"/>
        <v>23</v>
      </c>
      <c r="Q588" s="304">
        <f t="shared" ca="1" si="280"/>
        <v>0</v>
      </c>
      <c r="R588" s="306">
        <f t="shared" ca="1" si="281"/>
        <v>0</v>
      </c>
      <c r="S588" s="307">
        <f t="shared" ca="1" si="282"/>
        <v>4.9929999999999914</v>
      </c>
      <c r="T588" s="304">
        <f t="shared" ca="1" si="262"/>
        <v>48.981329999999922</v>
      </c>
      <c r="U588" s="311">
        <f t="shared" ca="1" si="263"/>
        <v>0</v>
      </c>
      <c r="V588" s="306">
        <f t="shared" ca="1" si="264"/>
        <v>0.99978642533093742</v>
      </c>
      <c r="W588" s="304">
        <f t="shared" ca="1" si="265"/>
        <v>8.1205870668500406</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7.4233566636949169</v>
      </c>
      <c r="AH588" s="304">
        <f t="shared" ca="1" si="289"/>
        <v>-1.5776672252910933</v>
      </c>
    </row>
    <row r="589" spans="1:34" x14ac:dyDescent="0.2">
      <c r="A589" s="347">
        <f t="shared" ca="1" si="267"/>
        <v>0.1</v>
      </c>
      <c r="B589" s="304">
        <f t="shared" ca="1" si="268"/>
        <v>22.500000000000007</v>
      </c>
      <c r="D589" s="306">
        <f t="shared" ca="1" si="269"/>
        <v>-0.63508745938390398</v>
      </c>
      <c r="E589" s="307">
        <f t="shared" ca="1" si="270"/>
        <v>-8.3127282975345231</v>
      </c>
      <c r="F589" s="304">
        <f t="shared" ca="1" si="271"/>
        <v>8.3369531502640637</v>
      </c>
      <c r="G589" s="306">
        <f t="shared" ca="1" si="272"/>
        <v>19.474331861580239</v>
      </c>
      <c r="H589" s="307">
        <f t="shared" ca="1" si="273"/>
        <v>-46.893363076815241</v>
      </c>
      <c r="I589" s="304">
        <f t="shared" ca="1" si="274"/>
        <v>50.776343922233892</v>
      </c>
      <c r="J589" s="306">
        <f t="shared" ca="1" si="275"/>
        <v>687.75798844412725</v>
      </c>
      <c r="K589" s="307">
        <f t="shared" ca="1" si="276"/>
        <v>2019.938246960945</v>
      </c>
      <c r="L589" s="304">
        <f t="shared" ca="1" si="261"/>
        <v>2133.8138560343937</v>
      </c>
      <c r="M589" s="306">
        <f t="shared" ca="1" si="277"/>
        <v>-1.1771790323652347</v>
      </c>
      <c r="N589" s="304">
        <f t="shared" ca="1" si="278"/>
        <v>-67.447390285822081</v>
      </c>
      <c r="P589" s="310">
        <f t="shared" ca="1" si="279"/>
        <v>23</v>
      </c>
      <c r="Q589" s="304">
        <f t="shared" ca="1" si="280"/>
        <v>0</v>
      </c>
      <c r="R589" s="306">
        <f t="shared" ca="1" si="281"/>
        <v>0</v>
      </c>
      <c r="S589" s="307">
        <f t="shared" ca="1" si="282"/>
        <v>4.9929999999999914</v>
      </c>
      <c r="T589" s="304">
        <f t="shared" ca="1" si="262"/>
        <v>48.981329999999922</v>
      </c>
      <c r="U589" s="311">
        <f t="shared" ca="1" si="263"/>
        <v>0</v>
      </c>
      <c r="V589" s="306">
        <f t="shared" ca="1" si="264"/>
        <v>1.0002560134569258</v>
      </c>
      <c r="W589" s="304">
        <f t="shared" ca="1" si="265"/>
        <v>8.3671285959564017</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7.4047703464276342</v>
      </c>
      <c r="AH589" s="304">
        <f t="shared" ca="1" si="289"/>
        <v>-1.6263943654816853</v>
      </c>
    </row>
    <row r="590" spans="1:34" x14ac:dyDescent="0.2">
      <c r="A590" s="347">
        <f t="shared" ca="1" si="267"/>
        <v>0.1</v>
      </c>
      <c r="B590" s="304">
        <f t="shared" ca="1" si="268"/>
        <v>22.600000000000009</v>
      </c>
      <c r="D590" s="306">
        <f t="shared" ca="1" si="269"/>
        <v>-0.64271142092917088</v>
      </c>
      <c r="E590" s="307">
        <f t="shared" ca="1" si="270"/>
        <v>-8.2623782264023795</v>
      </c>
      <c r="F590" s="304">
        <f t="shared" ca="1" si="271"/>
        <v>8.2873380482951777</v>
      </c>
      <c r="G590" s="306">
        <f t="shared" ca="1" si="272"/>
        <v>19.410060719487323</v>
      </c>
      <c r="H590" s="307">
        <f t="shared" ca="1" si="273"/>
        <v>-47.719600899455479</v>
      </c>
      <c r="I590" s="304">
        <f t="shared" ca="1" si="274"/>
        <v>51.516121429485516</v>
      </c>
      <c r="J590" s="306">
        <f t="shared" ca="1" si="275"/>
        <v>689.7022080731806</v>
      </c>
      <c r="K590" s="307">
        <f t="shared" ca="1" si="276"/>
        <v>2015.2075987621315</v>
      </c>
      <c r="L590" s="304">
        <f t="shared" ca="1" si="261"/>
        <v>2129.964976690851</v>
      </c>
      <c r="M590" s="306">
        <f t="shared" ca="1" si="277"/>
        <v>-1.1844825292734633</v>
      </c>
      <c r="N590" s="304">
        <f t="shared" ca="1" si="278"/>
        <v>-67.865849834350428</v>
      </c>
      <c r="P590" s="310">
        <f t="shared" ca="1" si="279"/>
        <v>23</v>
      </c>
      <c r="Q590" s="304">
        <f t="shared" ca="1" si="280"/>
        <v>0</v>
      </c>
      <c r="R590" s="306">
        <f t="shared" ca="1" si="281"/>
        <v>0</v>
      </c>
      <c r="S590" s="307">
        <f t="shared" ca="1" si="282"/>
        <v>4.9929999999999914</v>
      </c>
      <c r="T590" s="304">
        <f t="shared" ca="1" si="262"/>
        <v>48.981329999999922</v>
      </c>
      <c r="U590" s="311">
        <f t="shared" ca="1" si="263"/>
        <v>0</v>
      </c>
      <c r="V590" s="306">
        <f t="shared" ca="1" si="264"/>
        <v>1.0007341785300796</v>
      </c>
      <c r="W590" s="304">
        <f t="shared" ca="1" si="265"/>
        <v>8.6168288724979085</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7.3840355091434891</v>
      </c>
      <c r="AH590" s="304">
        <f t="shared" ca="1" si="289"/>
        <v>-1.6757717997108785</v>
      </c>
    </row>
    <row r="591" spans="1:34" x14ac:dyDescent="0.2">
      <c r="A591" s="347">
        <f t="shared" ca="1" si="267"/>
        <v>0.1</v>
      </c>
      <c r="B591" s="304">
        <f t="shared" ca="1" si="268"/>
        <v>22.70000000000001</v>
      </c>
      <c r="D591" s="306">
        <f t="shared" ca="1" si="269"/>
        <v>-0.6502339449989365</v>
      </c>
      <c r="E591" s="307">
        <f t="shared" ca="1" si="270"/>
        <v>-8.2114009644248398</v>
      </c>
      <c r="F591" s="304">
        <f t="shared" ca="1" si="271"/>
        <v>8.2371056798966755</v>
      </c>
      <c r="G591" s="306">
        <f t="shared" ca="1" si="272"/>
        <v>19.34503732498743</v>
      </c>
      <c r="H591" s="307">
        <f t="shared" ca="1" si="273"/>
        <v>-48.540740995897963</v>
      </c>
      <c r="I591" s="304">
        <f t="shared" ca="1" si="274"/>
        <v>52.253554955964532</v>
      </c>
      <c r="J591" s="306">
        <f t="shared" ca="1" si="275"/>
        <v>691.63996297540439</v>
      </c>
      <c r="K591" s="307">
        <f t="shared" ca="1" si="276"/>
        <v>2010.3945816673638</v>
      </c>
      <c r="L591" s="304">
        <f t="shared" ca="1" si="261"/>
        <v>2126.0414418308296</v>
      </c>
      <c r="M591" s="306">
        <f t="shared" ca="1" si="277"/>
        <v>-1.1915561296845285</v>
      </c>
      <c r="N591" s="304">
        <f t="shared" ca="1" si="278"/>
        <v>-68.271137283866466</v>
      </c>
      <c r="P591" s="310">
        <f t="shared" ca="1" si="279"/>
        <v>23</v>
      </c>
      <c r="Q591" s="304">
        <f t="shared" ca="1" si="280"/>
        <v>0</v>
      </c>
      <c r="R591" s="306">
        <f t="shared" ca="1" si="281"/>
        <v>0</v>
      </c>
      <c r="S591" s="307">
        <f t="shared" ca="1" si="282"/>
        <v>4.9929999999999914</v>
      </c>
      <c r="T591" s="304">
        <f t="shared" ca="1" si="262"/>
        <v>48.981329999999922</v>
      </c>
      <c r="U591" s="311">
        <f t="shared" ca="1" si="263"/>
        <v>0</v>
      </c>
      <c r="V591" s="306">
        <f t="shared" ca="1" si="264"/>
        <v>1.0012208802386715</v>
      </c>
      <c r="W591" s="304">
        <f t="shared" ca="1" si="265"/>
        <v>8.8695993200879251</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7.3612625712231017</v>
      </c>
      <c r="AH591" s="304">
        <f t="shared" ca="1" si="289"/>
        <v>-1.7257818691163476</v>
      </c>
    </row>
    <row r="592" spans="1:34" x14ac:dyDescent="0.2">
      <c r="A592" s="347">
        <f t="shared" ca="1" si="267"/>
        <v>0.1</v>
      </c>
      <c r="B592" s="304">
        <f t="shared" ca="1" si="268"/>
        <v>22.800000000000011</v>
      </c>
      <c r="D592" s="306">
        <f t="shared" ca="1" si="269"/>
        <v>-0.65765203016363116</v>
      </c>
      <c r="E592" s="307">
        <f t="shared" ca="1" si="270"/>
        <v>-8.1598136330620896</v>
      </c>
      <c r="F592" s="304">
        <f t="shared" ca="1" si="271"/>
        <v>8.186272944330911</v>
      </c>
      <c r="G592" s="306">
        <f t="shared" ca="1" si="272"/>
        <v>19.279272121971069</v>
      </c>
      <c r="H592" s="307">
        <f t="shared" ca="1" si="273"/>
        <v>-49.35672235920417</v>
      </c>
      <c r="I592" s="304">
        <f t="shared" ca="1" si="274"/>
        <v>52.988455116153141</v>
      </c>
      <c r="J592" s="306">
        <f t="shared" ca="1" si="275"/>
        <v>693.57117844775235</v>
      </c>
      <c r="K592" s="307">
        <f t="shared" ca="1" si="276"/>
        <v>2005.4997084996087</v>
      </c>
      <c r="L592" s="304">
        <f t="shared" ca="1" si="261"/>
        <v>2122.0438403495391</v>
      </c>
      <c r="M592" s="306">
        <f t="shared" ca="1" si="277"/>
        <v>-1.1984101419909159</v>
      </c>
      <c r="N592" s="304">
        <f t="shared" ca="1" si="278"/>
        <v>-68.6638432617532</v>
      </c>
      <c r="P592" s="310">
        <f t="shared" ca="1" si="279"/>
        <v>23</v>
      </c>
      <c r="Q592" s="304">
        <f t="shared" ca="1" si="280"/>
        <v>0</v>
      </c>
      <c r="R592" s="306">
        <f t="shared" ca="1" si="281"/>
        <v>0</v>
      </c>
      <c r="S592" s="307">
        <f t="shared" ca="1" si="282"/>
        <v>4.9929999999999914</v>
      </c>
      <c r="T592" s="304">
        <f t="shared" ca="1" si="262"/>
        <v>48.981329999999922</v>
      </c>
      <c r="U592" s="311">
        <f t="shared" ca="1" si="263"/>
        <v>0</v>
      </c>
      <c r="V592" s="306">
        <f t="shared" ca="1" si="264"/>
        <v>1.0017160777573155</v>
      </c>
      <c r="W592" s="304">
        <f t="shared" ca="1" si="265"/>
        <v>9.125351013404174</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7.3365553289142431</v>
      </c>
      <c r="AH592" s="304">
        <f t="shared" ca="1" si="289"/>
        <v>-1.7764068335846066</v>
      </c>
    </row>
    <row r="593" spans="1:34" x14ac:dyDescent="0.2">
      <c r="A593" s="347">
        <f t="shared" ca="1" si="267"/>
        <v>0.1</v>
      </c>
      <c r="B593" s="304">
        <f t="shared" ca="1" si="268"/>
        <v>22.900000000000013</v>
      </c>
      <c r="D593" s="306">
        <f t="shared" ca="1" si="269"/>
        <v>-0.66496285838779545</v>
      </c>
      <c r="E593" s="307">
        <f t="shared" ca="1" si="270"/>
        <v>-8.107633490881307</v>
      </c>
      <c r="F593" s="304">
        <f t="shared" ca="1" si="271"/>
        <v>8.1348568779970236</v>
      </c>
      <c r="G593" s="306">
        <f t="shared" ca="1" si="272"/>
        <v>19.212775836132288</v>
      </c>
      <c r="H593" s="307">
        <f t="shared" ca="1" si="273"/>
        <v>-50.167485708292304</v>
      </c>
      <c r="I593" s="304">
        <f t="shared" ca="1" si="274"/>
        <v>53.720642006785262</v>
      </c>
      <c r="J593" s="306">
        <f t="shared" ca="1" si="275"/>
        <v>695.49578084565746</v>
      </c>
      <c r="K593" s="307">
        <f t="shared" ca="1" si="276"/>
        <v>2000.5234980962339</v>
      </c>
      <c r="L593" s="304">
        <f t="shared" ca="1" si="261"/>
        <v>2117.9727683823753</v>
      </c>
      <c r="M593" s="306">
        <f t="shared" ca="1" si="277"/>
        <v>-1.2050543066072177</v>
      </c>
      <c r="N593" s="304">
        <f t="shared" ca="1" si="278"/>
        <v>-69.044525852657443</v>
      </c>
      <c r="P593" s="310">
        <f t="shared" ca="1" si="279"/>
        <v>23</v>
      </c>
      <c r="Q593" s="304">
        <f t="shared" ca="1" si="280"/>
        <v>0</v>
      </c>
      <c r="R593" s="306">
        <f t="shared" ca="1" si="281"/>
        <v>0</v>
      </c>
      <c r="S593" s="307">
        <f t="shared" ca="1" si="282"/>
        <v>4.9929999999999914</v>
      </c>
      <c r="T593" s="304">
        <f t="shared" ca="1" si="262"/>
        <v>48.981329999999922</v>
      </c>
      <c r="U593" s="311">
        <f t="shared" ca="1" si="263"/>
        <v>0</v>
      </c>
      <c r="V593" s="306">
        <f t="shared" ca="1" si="264"/>
        <v>1.0022197297596172</v>
      </c>
      <c r="W593" s="304">
        <f t="shared" ca="1" si="265"/>
        <v>9.383994734630793</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7.3100114817967663</v>
      </c>
      <c r="AH593" s="304">
        <f t="shared" ca="1" si="289"/>
        <v>-1.8276288831172021</v>
      </c>
    </row>
    <row r="594" spans="1:34" x14ac:dyDescent="0.2">
      <c r="A594" s="347">
        <f t="shared" ca="1" si="267"/>
        <v>0.1</v>
      </c>
      <c r="B594" s="304">
        <f t="shared" ca="1" si="268"/>
        <v>23.000000000000014</v>
      </c>
      <c r="D594" s="306">
        <f t="shared" ca="1" si="269"/>
        <v>-0.67216378669558108</v>
      </c>
      <c r="E594" s="307">
        <f t="shared" ca="1" si="270"/>
        <v>-8.0548779161173769</v>
      </c>
      <c r="F594" s="304">
        <f t="shared" ca="1" si="271"/>
        <v>8.0828746371387172</v>
      </c>
      <c r="G594" s="306">
        <f t="shared" ca="1" si="272"/>
        <v>19.145559457462728</v>
      </c>
      <c r="H594" s="307">
        <f t="shared" ca="1" si="273"/>
        <v>-50.972973499904043</v>
      </c>
      <c r="I594" s="304">
        <f t="shared" ca="1" si="274"/>
        <v>54.449944668118441</v>
      </c>
      <c r="J594" s="306">
        <f t="shared" ca="1" si="275"/>
        <v>697.41369761033718</v>
      </c>
      <c r="K594" s="307">
        <f t="shared" ca="1" si="276"/>
        <v>1995.4664751358241</v>
      </c>
      <c r="L594" s="304">
        <f t="shared" ca="1" si="261"/>
        <v>2113.8288291641575</v>
      </c>
      <c r="M594" s="306">
        <f t="shared" ca="1" si="277"/>
        <v>-1.2114978312136691</v>
      </c>
      <c r="N594" s="304">
        <f t="shared" ca="1" si="278"/>
        <v>-69.413712617795809</v>
      </c>
      <c r="P594" s="310">
        <f t="shared" ca="1" si="279"/>
        <v>23</v>
      </c>
      <c r="Q594" s="304">
        <f t="shared" ca="1" si="280"/>
        <v>0</v>
      </c>
      <c r="R594" s="306">
        <f t="shared" ca="1" si="281"/>
        <v>0</v>
      </c>
      <c r="S594" s="307">
        <f t="shared" ca="1" si="282"/>
        <v>4.9929999999999914</v>
      </c>
      <c r="T594" s="304">
        <f t="shared" ca="1" si="262"/>
        <v>48.981329999999922</v>
      </c>
      <c r="U594" s="311">
        <f t="shared" ca="1" si="263"/>
        <v>0</v>
      </c>
      <c r="V594" s="306">
        <f t="shared" ca="1" si="264"/>
        <v>1.002731794430944</v>
      </c>
      <c r="W594" s="304">
        <f t="shared" ca="1" si="265"/>
        <v>9.6454410295187518</v>
      </c>
      <c r="Y594" s="314" t="str">
        <f t="shared" ca="1" si="283"/>
        <v/>
      </c>
      <c r="Z594" s="315" t="str">
        <f t="shared" ca="1" si="284"/>
        <v/>
      </c>
      <c r="AA594" s="316" t="str">
        <f t="shared" ca="1" si="285"/>
        <v/>
      </c>
      <c r="AC594" s="310">
        <f t="shared" ca="1" si="286"/>
        <v>23.000000000000014</v>
      </c>
      <c r="AD594" s="323">
        <f t="shared" ca="1" si="287"/>
        <v>697.41369761033718</v>
      </c>
      <c r="AE594" s="324" t="e">
        <f t="shared" ca="1" si="266"/>
        <v>#N/A</v>
      </c>
      <c r="AG594" s="306">
        <f t="shared" ca="1" si="288"/>
        <v>7.2817231136310969</v>
      </c>
      <c r="AH594" s="304">
        <f t="shared" ca="1" si="289"/>
        <v>-1.8794301491349508</v>
      </c>
    </row>
    <row r="595" spans="1:34" x14ac:dyDescent="0.2">
      <c r="A595" s="347">
        <f t="shared" ca="1" si="267"/>
        <v>0.1</v>
      </c>
      <c r="B595" s="304">
        <f t="shared" ca="1" si="268"/>
        <v>23.100000000000016</v>
      </c>
      <c r="D595" s="306">
        <f t="shared" ca="1" si="269"/>
        <v>-0.67925233943705521</v>
      </c>
      <c r="E595" s="307">
        <f t="shared" ca="1" si="270"/>
        <v>-8.0015643899151261</v>
      </c>
      <c r="F595" s="304">
        <f t="shared" ca="1" si="271"/>
        <v>8.030343481233448</v>
      </c>
      <c r="G595" s="306">
        <f t="shared" ca="1" si="272"/>
        <v>19.077634223519023</v>
      </c>
      <c r="H595" s="307">
        <f t="shared" ca="1" si="273"/>
        <v>-51.773129938895558</v>
      </c>
      <c r="I595" s="304">
        <f t="shared" ca="1" si="274"/>
        <v>55.17620058717479</v>
      </c>
      <c r="J595" s="306">
        <f t="shared" ca="1" si="275"/>
        <v>699.32485729438622</v>
      </c>
      <c r="K595" s="307">
        <f t="shared" ca="1" si="276"/>
        <v>1990.3291699638842</v>
      </c>
      <c r="L595" s="304">
        <f t="shared" ca="1" si="261"/>
        <v>2109.6126328875966</v>
      </c>
      <c r="M595" s="306">
        <f t="shared" ca="1" si="277"/>
        <v>-1.2177494237382158</v>
      </c>
      <c r="N595" s="304">
        <f t="shared" ca="1" si="278"/>
        <v>-69.771902484687871</v>
      </c>
      <c r="P595" s="310">
        <f t="shared" ca="1" si="279"/>
        <v>23</v>
      </c>
      <c r="Q595" s="304">
        <f t="shared" ca="1" si="280"/>
        <v>0</v>
      </c>
      <c r="R595" s="306">
        <f t="shared" ca="1" si="281"/>
        <v>0</v>
      </c>
      <c r="S595" s="307">
        <f t="shared" ca="1" si="282"/>
        <v>4.9929999999999914</v>
      </c>
      <c r="T595" s="304">
        <f t="shared" ca="1" si="262"/>
        <v>48.981329999999922</v>
      </c>
      <c r="U595" s="311">
        <f t="shared" ca="1" si="263"/>
        <v>0</v>
      </c>
      <c r="V595" s="306">
        <f t="shared" ca="1" si="264"/>
        <v>1.0032522294813144</v>
      </c>
      <c r="W595" s="304">
        <f t="shared" ca="1" si="265"/>
        <v>9.9096002629957347</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7.2517771314615267</v>
      </c>
      <c r="AH595" s="304">
        <f t="shared" ca="1" si="289"/>
        <v>-1.9317927157057417</v>
      </c>
    </row>
    <row r="596" spans="1:34" x14ac:dyDescent="0.2">
      <c r="A596" s="347">
        <f t="shared" ca="1" si="267"/>
        <v>0.1</v>
      </c>
      <c r="B596" s="304">
        <f t="shared" ca="1" si="268"/>
        <v>23.200000000000017</v>
      </c>
      <c r="D596" s="306">
        <f t="shared" ca="1" si="269"/>
        <v>-0.68622620110006771</v>
      </c>
      <c r="E596" s="307">
        <f t="shared" ca="1" si="270"/>
        <v>-7.9477104802004632</v>
      </c>
      <c r="F596" s="304">
        <f t="shared" ca="1" si="271"/>
        <v>7.9772807570101545</v>
      </c>
      <c r="G596" s="306">
        <f t="shared" ca="1" si="272"/>
        <v>19.009011603409018</v>
      </c>
      <c r="H596" s="307">
        <f t="shared" ca="1" si="273"/>
        <v>-52.567900986915603</v>
      </c>
      <c r="I596" s="304">
        <f t="shared" ca="1" si="274"/>
        <v>55.899255239302619</v>
      </c>
      <c r="J596" s="306">
        <f t="shared" ca="1" si="275"/>
        <v>701.22918958573257</v>
      </c>
      <c r="K596" s="307">
        <f t="shared" ca="1" si="276"/>
        <v>1985.1121184175936</v>
      </c>
      <c r="L596" s="304">
        <f t="shared" ca="1" si="261"/>
        <v>2105.3247965611981</v>
      </c>
      <c r="M596" s="306">
        <f t="shared" ca="1" si="277"/>
        <v>-1.2238173232044054</v>
      </c>
      <c r="N596" s="304">
        <f t="shared" ca="1" si="278"/>
        <v>-70.119567514610225</v>
      </c>
      <c r="P596" s="310">
        <f t="shared" ca="1" si="279"/>
        <v>23</v>
      </c>
      <c r="Q596" s="304">
        <f t="shared" ca="1" si="280"/>
        <v>0</v>
      </c>
      <c r="R596" s="306">
        <f t="shared" ca="1" si="281"/>
        <v>0</v>
      </c>
      <c r="S596" s="307">
        <f t="shared" ca="1" si="282"/>
        <v>4.9929999999999914</v>
      </c>
      <c r="T596" s="304">
        <f t="shared" ca="1" si="262"/>
        <v>48.981329999999922</v>
      </c>
      <c r="U596" s="311">
        <f t="shared" ca="1" si="263"/>
        <v>0</v>
      </c>
      <c r="V596" s="306">
        <f t="shared" ca="1" si="264"/>
        <v>1.0037809921583807</v>
      </c>
      <c r="W596" s="304">
        <f t="shared" ca="1" si="265"/>
        <v>10.17638267425963</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7.2202556665628723</v>
      </c>
      <c r="AH596" s="304">
        <f t="shared" ca="1" si="289"/>
        <v>-1.9846986306821053</v>
      </c>
    </row>
    <row r="597" spans="1:34" x14ac:dyDescent="0.2">
      <c r="A597" s="347">
        <f t="shared" ca="1" si="267"/>
        <v>0.1</v>
      </c>
      <c r="B597" s="304">
        <f t="shared" ca="1" si="268"/>
        <v>23.300000000000018</v>
      </c>
      <c r="D597" s="306">
        <f t="shared" ca="1" si="269"/>
        <v>-0.69308320961738856</v>
      </c>
      <c r="E597" s="307">
        <f t="shared" ca="1" si="270"/>
        <v>-7.8933338261350423</v>
      </c>
      <c r="F597" s="304">
        <f t="shared" ca="1" si="271"/>
        <v>7.9237038830499724</v>
      </c>
      <c r="G597" s="306">
        <f t="shared" ca="1" si="272"/>
        <v>18.93970328244728</v>
      </c>
      <c r="H597" s="307">
        <f t="shared" ca="1" si="273"/>
        <v>-53.35723436952911</v>
      </c>
      <c r="I597" s="304">
        <f t="shared" ca="1" si="274"/>
        <v>56.618961664728566</v>
      </c>
      <c r="J597" s="306">
        <f t="shared" ca="1" si="275"/>
        <v>703.12662533002538</v>
      </c>
      <c r="K597" s="307">
        <f t="shared" ca="1" si="276"/>
        <v>1979.8158616497713</v>
      </c>
      <c r="L597" s="304">
        <f t="shared" ca="1" si="261"/>
        <v>2100.9659438667768</v>
      </c>
      <c r="M597" s="306">
        <f t="shared" ca="1" si="277"/>
        <v>-1.2297093285704535</v>
      </c>
      <c r="N597" s="304">
        <f t="shared" ca="1" si="278"/>
        <v>-70.457154554953206</v>
      </c>
      <c r="P597" s="310">
        <f t="shared" ca="1" si="279"/>
        <v>23</v>
      </c>
      <c r="Q597" s="304">
        <f t="shared" ca="1" si="280"/>
        <v>0</v>
      </c>
      <c r="R597" s="306">
        <f t="shared" ca="1" si="281"/>
        <v>0</v>
      </c>
      <c r="S597" s="307">
        <f t="shared" ca="1" si="282"/>
        <v>4.9929999999999914</v>
      </c>
      <c r="T597" s="304">
        <f t="shared" ca="1" si="262"/>
        <v>48.981329999999922</v>
      </c>
      <c r="U597" s="311">
        <f t="shared" ca="1" si="263"/>
        <v>0</v>
      </c>
      <c r="V597" s="306">
        <f t="shared" ca="1" si="264"/>
        <v>1.0043180392605044</v>
      </c>
      <c r="W597" s="304">
        <f t="shared" ca="1" si="265"/>
        <v>10.445698431292964</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7.1872364405441402</v>
      </c>
      <c r="AH597" s="304">
        <f t="shared" ca="1" si="289"/>
        <v>-2.0381299167353588</v>
      </c>
    </row>
    <row r="598" spans="1:34" x14ac:dyDescent="0.2">
      <c r="A598" s="347">
        <f t="shared" ca="1" si="267"/>
        <v>0.1</v>
      </c>
      <c r="B598" s="304">
        <f t="shared" ca="1" si="268"/>
        <v>23.40000000000002</v>
      </c>
      <c r="D598" s="306">
        <f t="shared" ca="1" si="269"/>
        <v>-0.69982135012340307</v>
      </c>
      <c r="E598" s="307">
        <f t="shared" ca="1" si="270"/>
        <v>-7.8384521231153226</v>
      </c>
      <c r="F598" s="304">
        <f t="shared" ca="1" si="271"/>
        <v>7.8696303349305836</v>
      </c>
      <c r="G598" s="306">
        <f t="shared" ca="1" si="272"/>
        <v>18.869721147434941</v>
      </c>
      <c r="H598" s="307">
        <f t="shared" ca="1" si="273"/>
        <v>-54.141079581840643</v>
      </c>
      <c r="I598" s="304">
        <f t="shared" ca="1" si="274"/>
        <v>57.33518007706224</v>
      </c>
      <c r="J598" s="306">
        <f t="shared" ca="1" si="275"/>
        <v>705.01709655151944</v>
      </c>
      <c r="K598" s="307">
        <f t="shared" ca="1" si="276"/>
        <v>1974.4409459522028</v>
      </c>
      <c r="L598" s="304">
        <f t="shared" ca="1" si="261"/>
        <v>2096.5367050167674</v>
      </c>
      <c r="M598" s="306">
        <f t="shared" ca="1" si="277"/>
        <v>-1.235432825681567</v>
      </c>
      <c r="N598" s="304">
        <f t="shared" ca="1" si="278"/>
        <v>-70.785086783475336</v>
      </c>
      <c r="P598" s="310">
        <f t="shared" ca="1" si="279"/>
        <v>23</v>
      </c>
      <c r="Q598" s="304">
        <f t="shared" ca="1" si="280"/>
        <v>0</v>
      </c>
      <c r="R598" s="306">
        <f t="shared" ca="1" si="281"/>
        <v>0</v>
      </c>
      <c r="S598" s="307">
        <f t="shared" ca="1" si="282"/>
        <v>4.9929999999999914</v>
      </c>
      <c r="T598" s="304">
        <f t="shared" ca="1" si="262"/>
        <v>48.981329999999922</v>
      </c>
      <c r="U598" s="311">
        <f t="shared" ca="1" si="263"/>
        <v>0</v>
      </c>
      <c r="V598" s="306">
        <f t="shared" ca="1" si="264"/>
        <v>1.0048633271499012</v>
      </c>
      <c r="W598" s="304">
        <f t="shared" ca="1" si="265"/>
        <v>10.71745768473836</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7.1527930996591857</v>
      </c>
      <c r="AH598" s="304">
        <f t="shared" ca="1" si="289"/>
        <v>-2.0920685822737797</v>
      </c>
    </row>
    <row r="599" spans="1:34" x14ac:dyDescent="0.2">
      <c r="A599" s="347">
        <f t="shared" ca="1" si="267"/>
        <v>0.1</v>
      </c>
      <c r="B599" s="304">
        <f t="shared" ca="1" si="268"/>
        <v>23.500000000000021</v>
      </c>
      <c r="D599" s="306">
        <f t="shared" ca="1" si="269"/>
        <v>-0.70643874911880333</v>
      </c>
      <c r="E599" s="307">
        <f t="shared" ca="1" si="270"/>
        <v>-7.7830831082823799</v>
      </c>
      <c r="F599" s="304">
        <f t="shared" ca="1" si="271"/>
        <v>7.8150776308803902</v>
      </c>
      <c r="G599" s="306">
        <f t="shared" ca="1" si="272"/>
        <v>18.799077272523061</v>
      </c>
      <c r="H599" s="307">
        <f t="shared" ca="1" si="273"/>
        <v>-54.91938789266888</v>
      </c>
      <c r="I599" s="304">
        <f t="shared" ca="1" si="274"/>
        <v>58.047777500983777</v>
      </c>
      <c r="J599" s="306">
        <f t="shared" ca="1" si="275"/>
        <v>706.90053647251739</v>
      </c>
      <c r="K599" s="307">
        <f t="shared" ca="1" si="276"/>
        <v>1968.9879225784773</v>
      </c>
      <c r="L599" s="304">
        <f t="shared" ca="1" si="261"/>
        <v>2092.0377166114954</v>
      </c>
      <c r="M599" s="306">
        <f t="shared" ca="1" si="277"/>
        <v>-1.2409948124533594</v>
      </c>
      <c r="N599" s="304">
        <f t="shared" ca="1" si="278"/>
        <v>-71.10376515120663</v>
      </c>
      <c r="P599" s="310">
        <f t="shared" ca="1" si="279"/>
        <v>23</v>
      </c>
      <c r="Q599" s="304">
        <f t="shared" ca="1" si="280"/>
        <v>0</v>
      </c>
      <c r="R599" s="306">
        <f t="shared" ca="1" si="281"/>
        <v>0</v>
      </c>
      <c r="S599" s="307">
        <f t="shared" ca="1" si="282"/>
        <v>4.9929999999999914</v>
      </c>
      <c r="T599" s="304">
        <f t="shared" ca="1" si="262"/>
        <v>48.981329999999922</v>
      </c>
      <c r="U599" s="311">
        <f t="shared" ca="1" si="263"/>
        <v>0</v>
      </c>
      <c r="V599" s="306">
        <f t="shared" ca="1" si="264"/>
        <v>1.005416811765852</v>
      </c>
      <c r="W599" s="304">
        <f t="shared" ca="1" si="265"/>
        <v>10.991570621078266</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7.1169955201244637</v>
      </c>
      <c r="AH599" s="304">
        <f t="shared" ca="1" si="289"/>
        <v>-2.1464966322328016</v>
      </c>
    </row>
    <row r="600" spans="1:34" x14ac:dyDescent="0.2">
      <c r="A600" s="347">
        <f t="shared" ca="1" si="267"/>
        <v>0.1</v>
      </c>
      <c r="B600" s="304">
        <f t="shared" ca="1" si="268"/>
        <v>23.600000000000023</v>
      </c>
      <c r="D600" s="306">
        <f t="shared" ca="1" si="269"/>
        <v>-0.71293366900559796</v>
      </c>
      <c r="E600" s="307">
        <f t="shared" ca="1" si="270"/>
        <v>-7.7272445465134734</v>
      </c>
      <c r="F600" s="304">
        <f t="shared" ca="1" si="271"/>
        <v>7.7600633179133274</v>
      </c>
      <c r="G600" s="306">
        <f t="shared" ca="1" si="272"/>
        <v>18.727783905622502</v>
      </c>
      <c r="H600" s="307">
        <f t="shared" ca="1" si="273"/>
        <v>-55.692112347320226</v>
      </c>
      <c r="I600" s="304">
        <f t="shared" ca="1" si="274"/>
        <v>58.756627436589923</v>
      </c>
      <c r="J600" s="306">
        <f t="shared" ca="1" si="275"/>
        <v>708.7768795314247</v>
      </c>
      <c r="K600" s="307">
        <f t="shared" ca="1" si="276"/>
        <v>1963.4573475664779</v>
      </c>
      <c r="L600" s="304">
        <f t="shared" ca="1" si="261"/>
        <v>2087.4696214965843</v>
      </c>
      <c r="M600" s="306">
        <f t="shared" ca="1" si="277"/>
        <v>-1.2464019223993248</v>
      </c>
      <c r="N600" s="304">
        <f t="shared" ca="1" si="278"/>
        <v>-71.413569730473654</v>
      </c>
      <c r="P600" s="310">
        <f t="shared" ca="1" si="279"/>
        <v>23</v>
      </c>
      <c r="Q600" s="304">
        <f t="shared" ca="1" si="280"/>
        <v>0</v>
      </c>
      <c r="R600" s="306">
        <f t="shared" ca="1" si="281"/>
        <v>0</v>
      </c>
      <c r="S600" s="307">
        <f t="shared" ca="1" si="282"/>
        <v>4.9929999999999914</v>
      </c>
      <c r="T600" s="304">
        <f t="shared" ca="1" si="262"/>
        <v>48.981329999999922</v>
      </c>
      <c r="U600" s="311">
        <f t="shared" ca="1" si="263"/>
        <v>0</v>
      </c>
      <c r="V600" s="306">
        <f t="shared" ca="1" si="264"/>
        <v>1.0059784486379664</v>
      </c>
      <c r="W600" s="304">
        <f t="shared" ca="1" si="265"/>
        <v>11.267947515064838</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7.0799100870089138</v>
      </c>
      <c r="AH600" s="304">
        <f t="shared" ca="1" si="289"/>
        <v>-2.2013960787258733</v>
      </c>
    </row>
    <row r="601" spans="1:34" x14ac:dyDescent="0.2">
      <c r="A601" s="347">
        <f t="shared" ca="1" si="267"/>
        <v>0.1</v>
      </c>
      <c r="B601" s="304">
        <f t="shared" ca="1" si="268"/>
        <v>23.700000000000024</v>
      </c>
      <c r="D601" s="306">
        <f t="shared" ca="1" si="269"/>
        <v>-0.7193045029582168</v>
      </c>
      <c r="E601" s="307">
        <f t="shared" ca="1" si="270"/>
        <v>-7.6709542168705003</v>
      </c>
      <c r="F601" s="304">
        <f t="shared" ca="1" si="271"/>
        <v>7.704604958419301</v>
      </c>
      <c r="G601" s="306">
        <f t="shared" ca="1" si="272"/>
        <v>18.655853455326682</v>
      </c>
      <c r="H601" s="307">
        <f t="shared" ca="1" si="273"/>
        <v>-56.459207769007278</v>
      </c>
      <c r="I601" s="304">
        <f t="shared" ca="1" si="274"/>
        <v>59.461609548098821</v>
      </c>
      <c r="J601" s="306">
        <f t="shared" ca="1" si="275"/>
        <v>710.64606139947216</v>
      </c>
      <c r="K601" s="307">
        <f t="shared" ca="1" si="276"/>
        <v>1957.8497815606615</v>
      </c>
      <c r="L601" s="304">
        <f t="shared" ca="1" si="261"/>
        <v>2082.8330686206496</v>
      </c>
      <c r="M601" s="306">
        <f t="shared" ca="1" si="277"/>
        <v>-1.2516604466100285</v>
      </c>
      <c r="N601" s="304">
        <f t="shared" ca="1" si="278"/>
        <v>-71.714860974214346</v>
      </c>
      <c r="P601" s="310">
        <f t="shared" ca="1" si="279"/>
        <v>23</v>
      </c>
      <c r="Q601" s="304">
        <f t="shared" ca="1" si="280"/>
        <v>0</v>
      </c>
      <c r="R601" s="306">
        <f t="shared" ca="1" si="281"/>
        <v>0</v>
      </c>
      <c r="S601" s="307">
        <f t="shared" ca="1" si="282"/>
        <v>4.9929999999999914</v>
      </c>
      <c r="T601" s="304">
        <f t="shared" ca="1" si="262"/>
        <v>48.981329999999922</v>
      </c>
      <c r="U601" s="311">
        <f t="shared" ca="1" si="263"/>
        <v>0</v>
      </c>
      <c r="V601" s="306">
        <f t="shared" ca="1" si="264"/>
        <v>1.0065481928994831</v>
      </c>
      <c r="W601" s="304">
        <f t="shared" ca="1" si="265"/>
        <v>11.546498781348735</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7.0415999490417924</v>
      </c>
      <c r="AH601" s="304">
        <f t="shared" ca="1" si="289"/>
        <v>-2.2567489515451347</v>
      </c>
    </row>
    <row r="602" spans="1:34" x14ac:dyDescent="0.2">
      <c r="A602" s="347">
        <f t="shared" ca="1" si="267"/>
        <v>0.1</v>
      </c>
      <c r="B602" s="304">
        <f t="shared" ca="1" si="268"/>
        <v>23.800000000000026</v>
      </c>
      <c r="D602" s="306">
        <f t="shared" ca="1" si="269"/>
        <v>-0.72554977009972066</v>
      </c>
      <c r="E602" s="307">
        <f t="shared" ca="1" si="270"/>
        <v>-7.6142298994839397</v>
      </c>
      <c r="F602" s="304">
        <f t="shared" ca="1" si="271"/>
        <v>7.6487201171886898</v>
      </c>
      <c r="G602" s="306">
        <f t="shared" ca="1" si="272"/>
        <v>18.58329847831671</v>
      </c>
      <c r="H602" s="307">
        <f t="shared" ca="1" si="273"/>
        <v>-57.220630758955672</v>
      </c>
      <c r="I602" s="304">
        <f t="shared" ca="1" si="274"/>
        <v>60.162609374818111</v>
      </c>
      <c r="J602" s="306">
        <f t="shared" ca="1" si="275"/>
        <v>712.50801899615431</v>
      </c>
      <c r="K602" s="307">
        <f t="shared" ca="1" si="276"/>
        <v>1952.1657896342633</v>
      </c>
      <c r="L602" s="304">
        <f t="shared" ca="1" si="261"/>
        <v>2078.1287128934509</v>
      </c>
      <c r="M602" s="306">
        <f t="shared" ca="1" si="277"/>
        <v>-1.2567763542861512</v>
      </c>
      <c r="N602" s="304">
        <f t="shared" ca="1" si="278"/>
        <v>-72.007980892434759</v>
      </c>
      <c r="P602" s="310">
        <f t="shared" ca="1" si="279"/>
        <v>23</v>
      </c>
      <c r="Q602" s="304">
        <f t="shared" ca="1" si="280"/>
        <v>0</v>
      </c>
      <c r="R602" s="306">
        <f t="shared" ca="1" si="281"/>
        <v>0</v>
      </c>
      <c r="S602" s="307">
        <f t="shared" ca="1" si="282"/>
        <v>4.9929999999999914</v>
      </c>
      <c r="T602" s="304">
        <f t="shared" ca="1" si="262"/>
        <v>48.981329999999922</v>
      </c>
      <c r="U602" s="311">
        <f t="shared" ca="1" si="263"/>
        <v>0</v>
      </c>
      <c r="V602" s="306">
        <f t="shared" ca="1" si="264"/>
        <v>1.0071259993006081</v>
      </c>
      <c r="W602" s="304">
        <f t="shared" ca="1" si="265"/>
        <v>11.827135025258411</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7.0021252514806349</v>
      </c>
      <c r="AH602" s="304">
        <f t="shared" ca="1" si="289"/>
        <v>-2.3125373085016534</v>
      </c>
    </row>
    <row r="603" spans="1:34" x14ac:dyDescent="0.2">
      <c r="A603" s="347">
        <f t="shared" ca="1" si="267"/>
        <v>0.1</v>
      </c>
      <c r="B603" s="304">
        <f t="shared" ca="1" si="268"/>
        <v>23.900000000000027</v>
      </c>
      <c r="D603" s="306">
        <f t="shared" ca="1" si="269"/>
        <v>-0.73166811095502449</v>
      </c>
      <c r="E603" s="307">
        <f t="shared" ca="1" si="270"/>
        <v>-7.5570893628539322</v>
      </c>
      <c r="F603" s="304">
        <f t="shared" ca="1" si="271"/>
        <v>7.5924263488524231</v>
      </c>
      <c r="G603" s="306">
        <f t="shared" ca="1" si="272"/>
        <v>18.510131667221206</v>
      </c>
      <c r="H603" s="307">
        <f t="shared" ca="1" si="273"/>
        <v>-57.976339695241066</v>
      </c>
      <c r="I603" s="304">
        <f t="shared" ca="1" si="274"/>
        <v>60.859518062467849</v>
      </c>
      <c r="J603" s="306">
        <f t="shared" ca="1" si="275"/>
        <v>714.36269050343117</v>
      </c>
      <c r="K603" s="307">
        <f t="shared" ca="1" si="276"/>
        <v>1946.4059411115534</v>
      </c>
      <c r="L603" s="304">
        <f t="shared" ca="1" si="261"/>
        <v>2073.3572150446366</v>
      </c>
      <c r="M603" s="306">
        <f t="shared" ca="1" si="277"/>
        <v>-1.2617553119218989</v>
      </c>
      <c r="N603" s="304">
        <f t="shared" ca="1" si="278"/>
        <v>-72.293254151337536</v>
      </c>
      <c r="P603" s="310">
        <f t="shared" ca="1" si="279"/>
        <v>23</v>
      </c>
      <c r="Q603" s="304">
        <f t="shared" ca="1" si="280"/>
        <v>0</v>
      </c>
      <c r="R603" s="306">
        <f t="shared" ca="1" si="281"/>
        <v>0</v>
      </c>
      <c r="S603" s="307">
        <f t="shared" ca="1" si="282"/>
        <v>4.9929999999999914</v>
      </c>
      <c r="T603" s="304">
        <f t="shared" ca="1" si="262"/>
        <v>48.981329999999922</v>
      </c>
      <c r="U603" s="311">
        <f t="shared" ca="1" si="263"/>
        <v>0</v>
      </c>
      <c r="V603" s="306">
        <f t="shared" ca="1" si="264"/>
        <v>1.0077118222218679</v>
      </c>
      <c r="W603" s="304">
        <f t="shared" ca="1" si="265"/>
        <v>12.109767092684001</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6.961543348993402</v>
      </c>
      <c r="AH603" s="304">
        <f t="shared" ca="1" si="289"/>
        <v>-2.3687432455955197</v>
      </c>
    </row>
    <row r="604" spans="1:34" x14ac:dyDescent="0.2">
      <c r="A604" s="347">
        <f t="shared" ca="1" si="267"/>
        <v>0.1</v>
      </c>
      <c r="B604" s="304">
        <f t="shared" ca="1" si="268"/>
        <v>24.000000000000028</v>
      </c>
      <c r="D604" s="306">
        <f t="shared" ca="1" si="269"/>
        <v>-0.7376582831557017</v>
      </c>
      <c r="E604" s="307">
        <f t="shared" ca="1" si="270"/>
        <v>-7.4995503515527648</v>
      </c>
      <c r="F604" s="304">
        <f t="shared" ca="1" si="271"/>
        <v>7.5357411857217746</v>
      </c>
      <c r="G604" s="306">
        <f t="shared" ca="1" si="272"/>
        <v>18.436365838905637</v>
      </c>
      <c r="H604" s="307">
        <f t="shared" ca="1" si="273"/>
        <v>-58.72629473039634</v>
      </c>
      <c r="I604" s="304">
        <f t="shared" ca="1" si="274"/>
        <v>61.552232113119537</v>
      </c>
      <c r="J604" s="306">
        <f t="shared" ca="1" si="275"/>
        <v>716.21001537873747</v>
      </c>
      <c r="K604" s="307">
        <f t="shared" ca="1" si="276"/>
        <v>1940.5708093902715</v>
      </c>
      <c r="L604" s="304">
        <f t="shared" ca="1" si="261"/>
        <v>2068.5192414832463</v>
      </c>
      <c r="M604" s="306">
        <f t="shared" ca="1" si="277"/>
        <v>-1.2666027012296945</v>
      </c>
      <c r="N604" s="304">
        <f t="shared" ca="1" si="278"/>
        <v>-72.570989100331062</v>
      </c>
      <c r="P604" s="310">
        <f t="shared" ca="1" si="279"/>
        <v>23</v>
      </c>
      <c r="Q604" s="304">
        <f t="shared" ca="1" si="280"/>
        <v>0</v>
      </c>
      <c r="R604" s="306">
        <f t="shared" ca="1" si="281"/>
        <v>0</v>
      </c>
      <c r="S604" s="307">
        <f t="shared" ca="1" si="282"/>
        <v>4.9929999999999914</v>
      </c>
      <c r="T604" s="304">
        <f t="shared" ca="1" si="262"/>
        <v>48.981329999999922</v>
      </c>
      <c r="U604" s="311">
        <f t="shared" ca="1" si="263"/>
        <v>0</v>
      </c>
      <c r="V604" s="306">
        <f t="shared" ca="1" si="264"/>
        <v>1.0083056156874757</v>
      </c>
      <c r="W604" s="304">
        <f t="shared" ca="1" si="265"/>
        <v>12.394306119022708</v>
      </c>
      <c r="Y604" s="314" t="str">
        <f t="shared" ca="1" si="283"/>
        <v/>
      </c>
      <c r="Z604" s="315" t="str">
        <f t="shared" ca="1" si="284"/>
        <v/>
      </c>
      <c r="AA604" s="316" t="str">
        <f t="shared" ca="1" si="285"/>
        <v/>
      </c>
      <c r="AC604" s="310">
        <f t="shared" ca="1" si="286"/>
        <v>24.000000000000028</v>
      </c>
      <c r="AD604" s="323">
        <f t="shared" ca="1" si="287"/>
        <v>716.21001537873747</v>
      </c>
      <c r="AE604" s="324" t="e">
        <f t="shared" ca="1" si="266"/>
        <v>#N/A</v>
      </c>
      <c r="AG604" s="306">
        <f t="shared" ca="1" si="288"/>
        <v>6.9199090003356165</v>
      </c>
      <c r="AH604" s="304">
        <f t="shared" ca="1" si="289"/>
        <v>-2.4253489070066134</v>
      </c>
    </row>
    <row r="605" spans="1:34" x14ac:dyDescent="0.2">
      <c r="A605" s="347">
        <f t="shared" ca="1" si="267"/>
        <v>0.1</v>
      </c>
      <c r="B605" s="304">
        <f t="shared" ca="1" si="268"/>
        <v>24.10000000000003</v>
      </c>
      <c r="D605" s="306">
        <f t="shared" ca="1" si="269"/>
        <v>-0.74351915737334562</v>
      </c>
      <c r="E605" s="307">
        <f t="shared" ca="1" si="270"/>
        <v>-7.4416305743152424</v>
      </c>
      <c r="F605" s="304">
        <f t="shared" ca="1" si="271"/>
        <v>7.4786821260142204</v>
      </c>
      <c r="G605" s="306">
        <f t="shared" ca="1" si="272"/>
        <v>18.362013923168302</v>
      </c>
      <c r="H605" s="307">
        <f t="shared" ca="1" si="273"/>
        <v>-59.470457787827861</v>
      </c>
      <c r="I605" s="304">
        <f t="shared" ca="1" si="274"/>
        <v>62.240653152167695</v>
      </c>
      <c r="J605" s="306">
        <f t="shared" ca="1" si="275"/>
        <v>718.04993436684117</v>
      </c>
      <c r="K605" s="307">
        <f t="shared" ca="1" si="276"/>
        <v>1934.6609717643603</v>
      </c>
      <c r="L605" s="304">
        <f t="shared" ca="1" si="261"/>
        <v>2063.6154641580983</v>
      </c>
      <c r="M605" s="306">
        <f t="shared" ca="1" si="277"/>
        <v>-1.2713236358915569</v>
      </c>
      <c r="N605" s="304">
        <f t="shared" ca="1" si="278"/>
        <v>-72.841478731812799</v>
      </c>
      <c r="P605" s="310">
        <f t="shared" ca="1" si="279"/>
        <v>23</v>
      </c>
      <c r="Q605" s="304">
        <f t="shared" ca="1" si="280"/>
        <v>0</v>
      </c>
      <c r="R605" s="306">
        <f t="shared" ca="1" si="281"/>
        <v>0</v>
      </c>
      <c r="S605" s="307">
        <f t="shared" ca="1" si="282"/>
        <v>4.9929999999999914</v>
      </c>
      <c r="T605" s="304">
        <f t="shared" ca="1" si="262"/>
        <v>48.981329999999922</v>
      </c>
      <c r="U605" s="311">
        <f t="shared" ca="1" si="263"/>
        <v>0</v>
      </c>
      <c r="V605" s="306">
        <f t="shared" ca="1" si="264"/>
        <v>1.0089073333787018</v>
      </c>
      <c r="W605" s="304">
        <f t="shared" ca="1" si="265"/>
        <v>12.680663577145237</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6.8772745464444176</v>
      </c>
      <c r="AH605" s="304">
        <f t="shared" ca="1" si="289"/>
        <v>-2.4823364948974023</v>
      </c>
    </row>
    <row r="606" spans="1:34" x14ac:dyDescent="0.2">
      <c r="A606" s="347">
        <f t="shared" ca="1" si="267"/>
        <v>0.1</v>
      </c>
      <c r="B606" s="304">
        <f t="shared" ca="1" si="268"/>
        <v>24.200000000000031</v>
      </c>
      <c r="D606" s="306">
        <f t="shared" ca="1" si="269"/>
        <v>-0.74924971346067193</v>
      </c>
      <c r="E606" s="307">
        <f t="shared" ca="1" si="270"/>
        <v>-7.3833476925053647</v>
      </c>
      <c r="F606" s="304">
        <f t="shared" ca="1" si="271"/>
        <v>7.4212666224536896</v>
      </c>
      <c r="G606" s="306">
        <f t="shared" ca="1" si="272"/>
        <v>18.287088951822234</v>
      </c>
      <c r="H606" s="307">
        <f t="shared" ca="1" si="273"/>
        <v>-60.208792557078397</v>
      </c>
      <c r="I606" s="304">
        <f t="shared" ca="1" si="274"/>
        <v>62.924687710891007</v>
      </c>
      <c r="J606" s="306">
        <f t="shared" ca="1" si="275"/>
        <v>719.88238951059066</v>
      </c>
      <c r="K606" s="307">
        <f t="shared" ca="1" si="276"/>
        <v>1928.6770092471149</v>
      </c>
      <c r="L606" s="304">
        <f t="shared" ca="1" si="261"/>
        <v>2058.6465604192172</v>
      </c>
      <c r="M606" s="306">
        <f t="shared" ca="1" si="277"/>
        <v>-1.2759229772172227</v>
      </c>
      <c r="N606" s="304">
        <f t="shared" ca="1" si="278"/>
        <v>-73.105001578313548</v>
      </c>
      <c r="P606" s="310">
        <f t="shared" ca="1" si="279"/>
        <v>23</v>
      </c>
      <c r="Q606" s="304">
        <f t="shared" ca="1" si="280"/>
        <v>0</v>
      </c>
      <c r="R606" s="306">
        <f t="shared" ca="1" si="281"/>
        <v>0</v>
      </c>
      <c r="S606" s="307">
        <f t="shared" ca="1" si="282"/>
        <v>4.9929999999999914</v>
      </c>
      <c r="T606" s="304">
        <f t="shared" ca="1" si="262"/>
        <v>48.981329999999922</v>
      </c>
      <c r="U606" s="311">
        <f t="shared" ca="1" si="263"/>
        <v>0</v>
      </c>
      <c r="V606" s="306">
        <f t="shared" ca="1" si="264"/>
        <v>1.0095169286472305</v>
      </c>
      <c r="W606" s="304">
        <f t="shared" ca="1" si="265"/>
        <v>12.968751324345236</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6.8336900734257222</v>
      </c>
      <c r="AH606" s="304">
        <f t="shared" ca="1" si="289"/>
        <v>-2.5396882790196793</v>
      </c>
    </row>
    <row r="607" spans="1:34" x14ac:dyDescent="0.2">
      <c r="A607" s="347">
        <f t="shared" ca="1" si="267"/>
        <v>0.1</v>
      </c>
      <c r="B607" s="304">
        <f t="shared" ca="1" si="268"/>
        <v>24.300000000000033</v>
      </c>
      <c r="D607" s="306">
        <f t="shared" ca="1" si="269"/>
        <v>-0.75484903678152748</v>
      </c>
      <c r="E607" s="307">
        <f t="shared" ca="1" si="270"/>
        <v>-7.3247193089493514</v>
      </c>
      <c r="F607" s="304">
        <f t="shared" ca="1" si="271"/>
        <v>7.363512071235129</v>
      </c>
      <c r="G607" s="306">
        <f t="shared" ca="1" si="272"/>
        <v>18.211604048144082</v>
      </c>
      <c r="H607" s="307">
        <f t="shared" ca="1" si="273"/>
        <v>-60.941264487973335</v>
      </c>
      <c r="I607" s="304">
        <f t="shared" ca="1" si="274"/>
        <v>63.604247023288451</v>
      </c>
      <c r="J607" s="306">
        <f t="shared" ca="1" si="275"/>
        <v>721.707324160589</v>
      </c>
      <c r="K607" s="307">
        <f t="shared" ca="1" si="276"/>
        <v>1922.6195063948624</v>
      </c>
      <c r="L607" s="304">
        <f t="shared" ca="1" si="261"/>
        <v>2053.6132128804252</v>
      </c>
      <c r="M607" s="306">
        <f t="shared" ca="1" si="277"/>
        <v>-1.2804053487839078</v>
      </c>
      <c r="N607" s="304">
        <f t="shared" ca="1" si="278"/>
        <v>-73.361822551294054</v>
      </c>
      <c r="P607" s="310">
        <f t="shared" ca="1" si="279"/>
        <v>23</v>
      </c>
      <c r="Q607" s="304">
        <f t="shared" ca="1" si="280"/>
        <v>0</v>
      </c>
      <c r="R607" s="306">
        <f t="shared" ca="1" si="281"/>
        <v>0</v>
      </c>
      <c r="S607" s="307">
        <f t="shared" ca="1" si="282"/>
        <v>4.9929999999999914</v>
      </c>
      <c r="T607" s="304">
        <f t="shared" ca="1" si="262"/>
        <v>48.981329999999922</v>
      </c>
      <c r="U607" s="311">
        <f t="shared" ca="1" si="263"/>
        <v>0</v>
      </c>
      <c r="V607" s="306">
        <f t="shared" ca="1" si="264"/>
        <v>1.01013435452851</v>
      </c>
      <c r="W607" s="304">
        <f t="shared" ca="1" si="265"/>
        <v>13.258481648236527</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6.7892035617778017</v>
      </c>
      <c r="AH607" s="304">
        <f t="shared" ca="1" si="289"/>
        <v>-2.5973866061176163</v>
      </c>
    </row>
    <row r="608" spans="1:34" x14ac:dyDescent="0.2">
      <c r="A608" s="347">
        <f t="shared" ca="1" si="267"/>
        <v>0.1</v>
      </c>
      <c r="B608" s="304">
        <f t="shared" ca="1" si="268"/>
        <v>24.400000000000034</v>
      </c>
      <c r="D608" s="306">
        <f t="shared" ca="1" si="269"/>
        <v>-0.76031631471280114</v>
      </c>
      <c r="E608" s="307">
        <f t="shared" ca="1" si="270"/>
        <v>-7.2657629571264559</v>
      </c>
      <c r="F608" s="304">
        <f t="shared" ca="1" si="271"/>
        <v>7.3054358013447382</v>
      </c>
      <c r="G608" s="306">
        <f t="shared" ca="1" si="272"/>
        <v>18.135572416672801</v>
      </c>
      <c r="H608" s="307">
        <f t="shared" ca="1" si="273"/>
        <v>-61.667840783685982</v>
      </c>
      <c r="I608" s="304">
        <f t="shared" ca="1" si="274"/>
        <v>64.279246835992311</v>
      </c>
      <c r="J608" s="306">
        <f t="shared" ca="1" si="275"/>
        <v>723.52468298382985</v>
      </c>
      <c r="K608" s="307">
        <f t="shared" ca="1" si="276"/>
        <v>1916.4890511312794</v>
      </c>
      <c r="L608" s="304">
        <f t="shared" ca="1" si="261"/>
        <v>2048.5161092832354</v>
      </c>
      <c r="M608" s="306">
        <f t="shared" ca="1" si="277"/>
        <v>-1.2847751501276765</v>
      </c>
      <c r="N608" s="304">
        <f t="shared" ca="1" si="278"/>
        <v>-73.612193725602594</v>
      </c>
      <c r="P608" s="310">
        <f t="shared" ca="1" si="279"/>
        <v>23</v>
      </c>
      <c r="Q608" s="304">
        <f t="shared" ca="1" si="280"/>
        <v>0</v>
      </c>
      <c r="R608" s="306">
        <f t="shared" ca="1" si="281"/>
        <v>0</v>
      </c>
      <c r="S608" s="307">
        <f t="shared" ca="1" si="282"/>
        <v>4.9929999999999914</v>
      </c>
      <c r="T608" s="304">
        <f t="shared" ca="1" si="262"/>
        <v>48.981329999999922</v>
      </c>
      <c r="U608" s="311">
        <f t="shared" ca="1" si="263"/>
        <v>0</v>
      </c>
      <c r="V608" s="306">
        <f t="shared" ca="1" si="264"/>
        <v>1.0107595637550681</v>
      </c>
      <c r="W608" s="304">
        <f t="shared" ca="1" si="265"/>
        <v>13.549767311565105</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6.7438610230731104</v>
      </c>
      <c r="AH608" s="304">
        <f t="shared" ca="1" si="289"/>
        <v>-2.6554139091200781</v>
      </c>
    </row>
    <row r="609" spans="1:34" x14ac:dyDescent="0.2">
      <c r="A609" s="347">
        <f t="shared" ca="1" si="267"/>
        <v>0.1</v>
      </c>
      <c r="B609" s="304">
        <f t="shared" ca="1" si="268"/>
        <v>24.500000000000036</v>
      </c>
      <c r="D609" s="306">
        <f t="shared" ca="1" si="269"/>
        <v>-0.76565083330284478</v>
      </c>
      <c r="E609" s="307">
        <f t="shared" ca="1" si="270"/>
        <v>-7.2064960907101785</v>
      </c>
      <c r="F609" s="304">
        <f t="shared" ca="1" si="271"/>
        <v>7.2470550642283946</v>
      </c>
      <c r="G609" s="306">
        <f t="shared" ca="1" si="272"/>
        <v>18.059007333342517</v>
      </c>
      <c r="H609" s="307">
        <f t="shared" ca="1" si="273"/>
        <v>-62.388490392756999</v>
      </c>
      <c r="I609" s="304">
        <f t="shared" ca="1" si="274"/>
        <v>64.949607230166151</v>
      </c>
      <c r="J609" s="306">
        <f t="shared" ca="1" si="275"/>
        <v>725.33441197133061</v>
      </c>
      <c r="K609" s="307">
        <f t="shared" ca="1" si="276"/>
        <v>1910.2862345724573</v>
      </c>
      <c r="L609" s="304">
        <f t="shared" ca="1" si="261"/>
        <v>2043.3559423621753</v>
      </c>
      <c r="M609" s="306">
        <f t="shared" ca="1" si="277"/>
        <v>-1.2890365695516814</v>
      </c>
      <c r="N609" s="304">
        <f t="shared" ca="1" si="278"/>
        <v>-73.856355073333148</v>
      </c>
      <c r="P609" s="310">
        <f t="shared" ca="1" si="279"/>
        <v>23</v>
      </c>
      <c r="Q609" s="304">
        <f t="shared" ca="1" si="280"/>
        <v>0</v>
      </c>
      <c r="R609" s="306">
        <f t="shared" ca="1" si="281"/>
        <v>0</v>
      </c>
      <c r="S609" s="307">
        <f t="shared" ca="1" si="282"/>
        <v>4.9929999999999914</v>
      </c>
      <c r="T609" s="304">
        <f t="shared" ca="1" si="262"/>
        <v>48.981329999999922</v>
      </c>
      <c r="U609" s="311">
        <f t="shared" ca="1" si="263"/>
        <v>0</v>
      </c>
      <c r="V609" s="306">
        <f t="shared" ca="1" si="264"/>
        <v>1.0113925087698041</v>
      </c>
      <c r="W609" s="304">
        <f t="shared" ca="1" si="265"/>
        <v>13.842521595905708</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6.6977066252097899</v>
      </c>
      <c r="AH609" s="304">
        <f t="shared" ca="1" si="289"/>
        <v>-2.7137527161155877</v>
      </c>
    </row>
    <row r="610" spans="1:34" x14ac:dyDescent="0.2">
      <c r="A610" s="347">
        <f t="shared" ca="1" si="267"/>
        <v>0.1</v>
      </c>
      <c r="B610" s="304">
        <f t="shared" ca="1" si="268"/>
        <v>24.600000000000037</v>
      </c>
      <c r="D610" s="306">
        <f t="shared" ca="1" si="269"/>
        <v>-0.7708519740725569</v>
      </c>
      <c r="E610" s="307">
        <f t="shared" ca="1" si="270"/>
        <v>-7.1469360734534817</v>
      </c>
      <c r="F610" s="304">
        <f t="shared" ca="1" si="271"/>
        <v>7.1883870238018091</v>
      </c>
      <c r="G610" s="306">
        <f t="shared" ca="1" si="272"/>
        <v>17.98192213593526</v>
      </c>
      <c r="H610" s="307">
        <f t="shared" ca="1" si="273"/>
        <v>-63.103184000102345</v>
      </c>
      <c r="I610" s="304">
        <f t="shared" ca="1" si="274"/>
        <v>65.61525245439212</v>
      </c>
      <c r="J610" s="306">
        <f t="shared" ca="1" si="275"/>
        <v>727.13645844479447</v>
      </c>
      <c r="K610" s="307">
        <f t="shared" ca="1" si="276"/>
        <v>1904.0116508528142</v>
      </c>
      <c r="L610" s="304">
        <f t="shared" ca="1" si="261"/>
        <v>2038.1334097116649</v>
      </c>
      <c r="M610" s="306">
        <f t="shared" ca="1" si="277"/>
        <v>-1.2931935961121011</v>
      </c>
      <c r="N610" s="304">
        <f t="shared" ca="1" si="278"/>
        <v>-74.094535150568973</v>
      </c>
      <c r="P610" s="310">
        <f t="shared" ca="1" si="279"/>
        <v>23</v>
      </c>
      <c r="Q610" s="304">
        <f t="shared" ca="1" si="280"/>
        <v>0</v>
      </c>
      <c r="R610" s="306">
        <f t="shared" ca="1" si="281"/>
        <v>0</v>
      </c>
      <c r="S610" s="307">
        <f t="shared" ca="1" si="282"/>
        <v>4.9929999999999914</v>
      </c>
      <c r="T610" s="304">
        <f t="shared" ca="1" si="262"/>
        <v>48.981329999999922</v>
      </c>
      <c r="U610" s="311">
        <f t="shared" ca="1" si="263"/>
        <v>0</v>
      </c>
      <c r="V610" s="306">
        <f t="shared" ca="1" si="264"/>
        <v>1.0120331417392314</v>
      </c>
      <c r="W610" s="304">
        <f t="shared" ca="1" si="265"/>
        <v>14.136658344214856</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6.6507828072434396</v>
      </c>
      <c r="AH610" s="304">
        <f t="shared" ca="1" si="289"/>
        <v>-2.7723856591038918</v>
      </c>
    </row>
    <row r="611" spans="1:34" x14ac:dyDescent="0.2">
      <c r="A611" s="347">
        <f t="shared" ca="1" si="267"/>
        <v>0.1</v>
      </c>
      <c r="B611" s="304">
        <f t="shared" ca="1" si="268"/>
        <v>24.700000000000038</v>
      </c>
      <c r="D611" s="306">
        <f t="shared" ca="1" si="269"/>
        <v>-0.77591921094658556</v>
      </c>
      <c r="E611" s="307">
        <f t="shared" ca="1" si="270"/>
        <v>-7.0871001694124516</v>
      </c>
      <c r="F611" s="304">
        <f t="shared" ca="1" si="271"/>
        <v>7.1294487467967658</v>
      </c>
      <c r="G611" s="306">
        <f t="shared" ca="1" si="272"/>
        <v>17.904330214840602</v>
      </c>
      <c r="H611" s="307">
        <f t="shared" ca="1" si="273"/>
        <v>-63.811894017043592</v>
      </c>
      <c r="I611" s="304">
        <f t="shared" ca="1" si="274"/>
        <v>66.276110767639778</v>
      </c>
      <c r="J611" s="306">
        <f t="shared" ca="1" si="275"/>
        <v>728.93077106233329</v>
      </c>
      <c r="K611" s="307">
        <f t="shared" ca="1" si="276"/>
        <v>1897.6658969519569</v>
      </c>
      <c r="L611" s="304">
        <f t="shared" ca="1" si="261"/>
        <v>2032.8492136545699</v>
      </c>
      <c r="M611" s="306">
        <f t="shared" ca="1" si="277"/>
        <v>-1.2972500308384058</v>
      </c>
      <c r="N611" s="304">
        <f t="shared" ca="1" si="278"/>
        <v>-74.326951740256547</v>
      </c>
      <c r="P611" s="310">
        <f t="shared" ca="1" si="279"/>
        <v>23</v>
      </c>
      <c r="Q611" s="304">
        <f t="shared" ca="1" si="280"/>
        <v>0</v>
      </c>
      <c r="R611" s="306">
        <f t="shared" ca="1" si="281"/>
        <v>0</v>
      </c>
      <c r="S611" s="307">
        <f t="shared" ca="1" si="282"/>
        <v>4.9929999999999914</v>
      </c>
      <c r="T611" s="304">
        <f t="shared" ca="1" si="262"/>
        <v>48.981329999999922</v>
      </c>
      <c r="U611" s="311">
        <f t="shared" ca="1" si="263"/>
        <v>0</v>
      </c>
      <c r="V611" s="306">
        <f t="shared" ca="1" si="264"/>
        <v>1.01268141456668</v>
      </c>
      <c r="W611" s="304">
        <f t="shared" ca="1" si="265"/>
        <v>14.432092002215029</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6.6031303847185132</v>
      </c>
      <c r="AH611" s="304">
        <f t="shared" ca="1" si="289"/>
        <v>-2.8312954825185019</v>
      </c>
    </row>
    <row r="612" spans="1:34" x14ac:dyDescent="0.2">
      <c r="A612" s="347">
        <f t="shared" ca="1" si="267"/>
        <v>0.1</v>
      </c>
      <c r="B612" s="304">
        <f t="shared" ca="1" si="268"/>
        <v>24.80000000000004</v>
      </c>
      <c r="D612" s="306">
        <f t="shared" ca="1" si="269"/>
        <v>-0.7808521073033714</v>
      </c>
      <c r="E612" s="307">
        <f t="shared" ca="1" si="270"/>
        <v>-7.0270055335034787</v>
      </c>
      <c r="F612" s="304">
        <f t="shared" ca="1" si="271"/>
        <v>7.0702571934384837</v>
      </c>
      <c r="G612" s="306">
        <f t="shared" ca="1" si="272"/>
        <v>17.826245004110266</v>
      </c>
      <c r="H612" s="307">
        <f t="shared" ca="1" si="273"/>
        <v>-64.514594570393939</v>
      </c>
      <c r="I612" s="304">
        <f t="shared" ca="1" si="274"/>
        <v>66.932114291488432</v>
      </c>
      <c r="J612" s="306">
        <f t="shared" ca="1" si="275"/>
        <v>730.71729982328088</v>
      </c>
      <c r="K612" s="307">
        <f t="shared" ca="1" si="276"/>
        <v>1891.2495725225851</v>
      </c>
      <c r="L612" s="304">
        <f t="shared" ca="1" si="261"/>
        <v>2027.504061112551</v>
      </c>
      <c r="M612" s="306">
        <f t="shared" ca="1" si="277"/>
        <v>-1.3012094972406365</v>
      </c>
      <c r="N612" s="304">
        <f t="shared" ca="1" si="278"/>
        <v>-74.553812454228208</v>
      </c>
      <c r="P612" s="310">
        <f t="shared" ca="1" si="279"/>
        <v>23</v>
      </c>
      <c r="Q612" s="304">
        <f t="shared" ca="1" si="280"/>
        <v>0</v>
      </c>
      <c r="R612" s="306">
        <f t="shared" ca="1" si="281"/>
        <v>0</v>
      </c>
      <c r="S612" s="307">
        <f t="shared" ca="1" si="282"/>
        <v>4.9929999999999914</v>
      </c>
      <c r="T612" s="304">
        <f t="shared" ca="1" si="262"/>
        <v>48.981329999999922</v>
      </c>
      <c r="U612" s="311">
        <f t="shared" ca="1" si="263"/>
        <v>0</v>
      </c>
      <c r="V612" s="306">
        <f t="shared" ca="1" si="264"/>
        <v>1.0133372789054365</v>
      </c>
      <c r="W612" s="304">
        <f t="shared" ca="1" si="265"/>
        <v>14.728737658586647</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6.5547886463353482</v>
      </c>
      <c r="AH612" s="304">
        <f t="shared" ca="1" si="289"/>
        <v>-2.890465051515132</v>
      </c>
    </row>
    <row r="613" spans="1:34" x14ac:dyDescent="0.2">
      <c r="A613" s="347">
        <f t="shared" ca="1" si="267"/>
        <v>0.1</v>
      </c>
      <c r="B613" s="304">
        <f t="shared" ca="1" si="268"/>
        <v>24.900000000000041</v>
      </c>
      <c r="D613" s="306">
        <f t="shared" ca="1" si="269"/>
        <v>-0.78565031313385447</v>
      </c>
      <c r="E613" s="307">
        <f t="shared" ca="1" si="270"/>
        <v>-6.9666692023896886</v>
      </c>
      <c r="F613" s="304">
        <f t="shared" ca="1" si="271"/>
        <v>7.0108292084497608</v>
      </c>
      <c r="G613" s="306">
        <f t="shared" ca="1" si="272"/>
        <v>17.747679972796881</v>
      </c>
      <c r="H613" s="307">
        <f t="shared" ca="1" si="273"/>
        <v>-65.211261490632907</v>
      </c>
      <c r="I613" s="304">
        <f t="shared" ca="1" si="274"/>
        <v>67.583198870847468</v>
      </c>
      <c r="J613" s="306">
        <f t="shared" ca="1" si="275"/>
        <v>732.49599607212622</v>
      </c>
      <c r="K613" s="307">
        <f t="shared" ca="1" si="276"/>
        <v>1884.7632797195338</v>
      </c>
      <c r="L613" s="304">
        <f t="shared" ca="1" si="261"/>
        <v>2022.0986634783255</v>
      </c>
      <c r="M613" s="306">
        <f t="shared" ca="1" si="277"/>
        <v>-1.3050754511526859</v>
      </c>
      <c r="N613" s="304">
        <f t="shared" ca="1" si="278"/>
        <v>-74.775315297180725</v>
      </c>
      <c r="P613" s="310">
        <f t="shared" ca="1" si="279"/>
        <v>23</v>
      </c>
      <c r="Q613" s="304">
        <f t="shared" ca="1" si="280"/>
        <v>0</v>
      </c>
      <c r="R613" s="306">
        <f t="shared" ca="1" si="281"/>
        <v>0</v>
      </c>
      <c r="S613" s="307">
        <f t="shared" ca="1" si="282"/>
        <v>4.9929999999999914</v>
      </c>
      <c r="T613" s="304">
        <f t="shared" ca="1" si="262"/>
        <v>48.981329999999922</v>
      </c>
      <c r="U613" s="311">
        <f t="shared" ca="1" si="263"/>
        <v>0</v>
      </c>
      <c r="V613" s="306">
        <f t="shared" ca="1" si="264"/>
        <v>1.0140006861718254</v>
      </c>
      <c r="W613" s="304">
        <f t="shared" ca="1" si="265"/>
        <v>15.026511083947149</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6.5057954427134401</v>
      </c>
      <c r="AH613" s="304">
        <f t="shared" ca="1" si="289"/>
        <v>-2.9498773600213646</v>
      </c>
    </row>
    <row r="614" spans="1:34" x14ac:dyDescent="0.2">
      <c r="A614" s="347">
        <f t="shared" ca="1" si="267"/>
        <v>0.1</v>
      </c>
      <c r="B614" s="304">
        <f t="shared" ca="1" si="268"/>
        <v>25.000000000000043</v>
      </c>
      <c r="D614" s="306">
        <f t="shared" ca="1" si="269"/>
        <v>-0.79031356229968674</v>
      </c>
      <c r="E614" s="307">
        <f t="shared" ca="1" si="270"/>
        <v>-6.9061080856926989</v>
      </c>
      <c r="F614" s="304">
        <f t="shared" ca="1" si="271"/>
        <v>6.9511815123779428</v>
      </c>
      <c r="G614" s="306">
        <f t="shared" ca="1" si="272"/>
        <v>17.668648616566912</v>
      </c>
      <c r="H614" s="307">
        <f t="shared" ca="1" si="273"/>
        <v>-65.901872299202182</v>
      </c>
      <c r="I614" s="304">
        <f t="shared" ca="1" si="274"/>
        <v>68.229303942485473</v>
      </c>
      <c r="J614" s="306">
        <f t="shared" ca="1" si="275"/>
        <v>734.26681250159436</v>
      </c>
      <c r="K614" s="307">
        <f t="shared" ca="1" si="276"/>
        <v>1878.207623030042</v>
      </c>
      <c r="L614" s="304">
        <f t="shared" ca="1" si="261"/>
        <v>2016.6337364899487</v>
      </c>
      <c r="M614" s="306">
        <f t="shared" ca="1" si="277"/>
        <v>-1.3088511899571169</v>
      </c>
      <c r="N614" s="304">
        <f t="shared" ca="1" si="278"/>
        <v>-74.9916491952184</v>
      </c>
      <c r="P614" s="310">
        <f t="shared" ca="1" si="279"/>
        <v>23</v>
      </c>
      <c r="Q614" s="304">
        <f t="shared" ca="1" si="280"/>
        <v>0</v>
      </c>
      <c r="R614" s="306">
        <f t="shared" ca="1" si="281"/>
        <v>0</v>
      </c>
      <c r="S614" s="307">
        <f t="shared" ca="1" si="282"/>
        <v>4.9929999999999914</v>
      </c>
      <c r="T614" s="304">
        <f t="shared" ca="1" si="262"/>
        <v>48.981329999999922</v>
      </c>
      <c r="U614" s="311">
        <f t="shared" ca="1" si="263"/>
        <v>0</v>
      </c>
      <c r="V614" s="306">
        <f t="shared" ca="1" si="264"/>
        <v>1.0146715875582182</v>
      </c>
      <c r="W614" s="304">
        <f t="shared" ca="1" si="265"/>
        <v>15.325328768598617</v>
      </c>
      <c r="Y614" s="314" t="str">
        <f t="shared" ca="1" si="283"/>
        <v/>
      </c>
      <c r="Z614" s="315" t="str">
        <f t="shared" ca="1" si="284"/>
        <v/>
      </c>
      <c r="AA614" s="316" t="str">
        <f t="shared" ca="1" si="285"/>
        <v/>
      </c>
      <c r="AC614" s="310">
        <f t="shared" ca="1" si="286"/>
        <v>25.000000000000043</v>
      </c>
      <c r="AD614" s="323">
        <f t="shared" ca="1" si="287"/>
        <v>734.26681250159436</v>
      </c>
      <c r="AE614" s="324" t="e">
        <f t="shared" ca="1" si="266"/>
        <v>#N/A</v>
      </c>
      <c r="AG614" s="306">
        <f t="shared" ca="1" si="288"/>
        <v>6.4561872679429992</v>
      </c>
      <c r="AH614" s="304">
        <f t="shared" ca="1" si="289"/>
        <v>-3.0095155385433956</v>
      </c>
    </row>
    <row r="615" spans="1:34" x14ac:dyDescent="0.2">
      <c r="A615" s="347">
        <f t="shared" ca="1" si="267"/>
        <v>0.1</v>
      </c>
      <c r="B615" s="304">
        <f t="shared" ca="1" si="268"/>
        <v>25.100000000000044</v>
      </c>
      <c r="D615" s="306">
        <f t="shared" ca="1" si="269"/>
        <v>-0.79484166988270089</v>
      </c>
      <c r="E615" s="307">
        <f t="shared" ca="1" si="270"/>
        <v>-6.8453389575262085</v>
      </c>
      <c r="F615" s="304">
        <f t="shared" ca="1" si="271"/>
        <v>6.8913306932411764</v>
      </c>
      <c r="G615" s="306">
        <f t="shared" ca="1" si="272"/>
        <v>17.589164449578643</v>
      </c>
      <c r="H615" s="307">
        <f t="shared" ca="1" si="273"/>
        <v>-66.586406194954805</v>
      </c>
      <c r="I615" s="304">
        <f t="shared" ca="1" si="274"/>
        <v>68.870372410738696</v>
      </c>
      <c r="J615" s="306">
        <f t="shared" ca="1" si="275"/>
        <v>736.02970315490165</v>
      </c>
      <c r="K615" s="307">
        <f t="shared" ca="1" si="276"/>
        <v>1871.5832091053342</v>
      </c>
      <c r="L615" s="304">
        <f t="shared" ca="1" si="261"/>
        <v>2011.1100001072327</v>
      </c>
      <c r="M615" s="306">
        <f t="shared" ca="1" si="277"/>
        <v>-1.3125398612338146</v>
      </c>
      <c r="N615" s="304">
        <f t="shared" ca="1" si="278"/>
        <v>-75.202994491384317</v>
      </c>
      <c r="P615" s="310">
        <f t="shared" ca="1" si="279"/>
        <v>23</v>
      </c>
      <c r="Q615" s="304">
        <f t="shared" ca="1" si="280"/>
        <v>0</v>
      </c>
      <c r="R615" s="306">
        <f t="shared" ca="1" si="281"/>
        <v>0</v>
      </c>
      <c r="S615" s="307">
        <f t="shared" ca="1" si="282"/>
        <v>4.9929999999999914</v>
      </c>
      <c r="T615" s="304">
        <f t="shared" ca="1" si="262"/>
        <v>48.981329999999922</v>
      </c>
      <c r="U615" s="311">
        <f t="shared" ca="1" si="263"/>
        <v>0</v>
      </c>
      <c r="V615" s="306">
        <f t="shared" ca="1" si="264"/>
        <v>1.0153499340459664</v>
      </c>
      <c r="W615" s="304">
        <f t="shared" ca="1" si="265"/>
        <v>15.625107959027636</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6.4059993345545685</v>
      </c>
      <c r="AH615" s="304">
        <f t="shared" ca="1" si="289"/>
        <v>-3.069362861726145</v>
      </c>
    </row>
    <row r="616" spans="1:34" x14ac:dyDescent="0.2">
      <c r="A616" s="347">
        <f t="shared" ca="1" si="267"/>
        <v>0.1</v>
      </c>
      <c r="B616" s="304">
        <f t="shared" ca="1" si="268"/>
        <v>25.200000000000045</v>
      </c>
      <c r="D616" s="306">
        <f t="shared" ca="1" si="269"/>
        <v>-0.7992345296182316</v>
      </c>
      <c r="E616" s="307">
        <f t="shared" ca="1" si="270"/>
        <v>-6.7843784483481766</v>
      </c>
      <c r="F616" s="304">
        <f t="shared" ca="1" si="271"/>
        <v>6.831293198490699</v>
      </c>
      <c r="G616" s="306">
        <f t="shared" ca="1" si="272"/>
        <v>17.509240996616821</v>
      </c>
      <c r="H616" s="307">
        <f t="shared" ca="1" si="273"/>
        <v>-67.264844039789622</v>
      </c>
      <c r="I616" s="304">
        <f t="shared" ca="1" si="274"/>
        <v>69.506350529824445</v>
      </c>
      <c r="J616" s="306">
        <f t="shared" ca="1" si="275"/>
        <v>737.78462342721139</v>
      </c>
      <c r="K616" s="307">
        <f t="shared" ca="1" si="276"/>
        <v>1864.890646593597</v>
      </c>
      <c r="L616" s="304">
        <f t="shared" ca="1" si="261"/>
        <v>2005.5281783904002</v>
      </c>
      <c r="M616" s="306">
        <f t="shared" ca="1" si="277"/>
        <v>-1.3161444708717625</v>
      </c>
      <c r="N616" s="304">
        <f t="shared" ca="1" si="278"/>
        <v>-75.409523410430907</v>
      </c>
      <c r="P616" s="310">
        <f t="shared" ca="1" si="279"/>
        <v>23</v>
      </c>
      <c r="Q616" s="304">
        <f t="shared" ca="1" si="280"/>
        <v>0</v>
      </c>
      <c r="R616" s="306">
        <f t="shared" ca="1" si="281"/>
        <v>0</v>
      </c>
      <c r="S616" s="307">
        <f t="shared" ca="1" si="282"/>
        <v>4.9929999999999914</v>
      </c>
      <c r="T616" s="304">
        <f t="shared" ca="1" si="262"/>
        <v>48.981329999999922</v>
      </c>
      <c r="U616" s="311">
        <f t="shared" ca="1" si="263"/>
        <v>0</v>
      </c>
      <c r="V616" s="306">
        <f t="shared" ca="1" si="264"/>
        <v>1.0160356764182523</v>
      </c>
      <c r="W616" s="304">
        <f t="shared" ca="1" si="265"/>
        <v>15.925766693143238</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6.3552656424800311</v>
      </c>
      <c r="AH616" s="304">
        <f t="shared" ca="1" si="289"/>
        <v>-3.1294027556634614</v>
      </c>
    </row>
    <row r="617" spans="1:34" x14ac:dyDescent="0.2">
      <c r="A617" s="347">
        <f t="shared" ca="1" si="267"/>
        <v>0.1</v>
      </c>
      <c r="B617" s="304">
        <f t="shared" ca="1" si="268"/>
        <v>25.300000000000047</v>
      </c>
      <c r="D617" s="306">
        <f t="shared" ca="1" si="269"/>
        <v>-0.80349211140562826</v>
      </c>
      <c r="E617" s="307">
        <f t="shared" ca="1" si="270"/>
        <v>-6.7232430371285705</v>
      </c>
      <c r="F617" s="304">
        <f t="shared" ca="1" si="271"/>
        <v>6.7710853272860829</v>
      </c>
      <c r="G617" s="306">
        <f t="shared" ca="1" si="272"/>
        <v>17.428891785476257</v>
      </c>
      <c r="H617" s="307">
        <f t="shared" ca="1" si="273"/>
        <v>-67.937168343502478</v>
      </c>
      <c r="I617" s="304">
        <f t="shared" ca="1" si="274"/>
        <v>70.137187792234997</v>
      </c>
      <c r="J617" s="306">
        <f t="shared" ca="1" si="275"/>
        <v>739.53153006631601</v>
      </c>
      <c r="K617" s="307">
        <f t="shared" ca="1" si="276"/>
        <v>1858.1305459744324</v>
      </c>
      <c r="L617" s="304">
        <f t="shared" ca="1" si="261"/>
        <v>1999.8889993810828</v>
      </c>
      <c r="M617" s="306">
        <f t="shared" ca="1" si="277"/>
        <v>-1.3196678906804302</v>
      </c>
      <c r="N617" s="304">
        <f t="shared" ca="1" si="278"/>
        <v>-75.61140049492036</v>
      </c>
      <c r="P617" s="310">
        <f t="shared" ca="1" si="279"/>
        <v>23</v>
      </c>
      <c r="Q617" s="304">
        <f t="shared" ca="1" si="280"/>
        <v>0</v>
      </c>
      <c r="R617" s="306">
        <f t="shared" ca="1" si="281"/>
        <v>0</v>
      </c>
      <c r="S617" s="307">
        <f t="shared" ca="1" si="282"/>
        <v>4.9929999999999914</v>
      </c>
      <c r="T617" s="304">
        <f t="shared" ca="1" si="262"/>
        <v>48.981329999999922</v>
      </c>
      <c r="U617" s="311">
        <f t="shared" ca="1" si="263"/>
        <v>0</v>
      </c>
      <c r="V617" s="306">
        <f t="shared" ca="1" si="264"/>
        <v>1.0167287652728487</v>
      </c>
      <c r="W617" s="304">
        <f t="shared" ca="1" si="265"/>
        <v>16.227223834241226</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6.3040190425270453</v>
      </c>
      <c r="AH617" s="304">
        <f t="shared" ca="1" si="289"/>
        <v>-3.1896188049555909</v>
      </c>
    </row>
    <row r="618" spans="1:34" x14ac:dyDescent="0.2">
      <c r="A618" s="347">
        <f t="shared" ca="1" si="267"/>
        <v>0.1</v>
      </c>
      <c r="B618" s="304">
        <f t="shared" ca="1" si="268"/>
        <v>25.400000000000048</v>
      </c>
      <c r="D618" s="306">
        <f t="shared" ca="1" si="269"/>
        <v>-0.80761445888999805</v>
      </c>
      <c r="E618" s="307">
        <f t="shared" ca="1" si="270"/>
        <v>-6.6619490438297442</v>
      </c>
      <c r="F618" s="304">
        <f t="shared" ca="1" si="271"/>
        <v>6.7107232230805218</v>
      </c>
      <c r="G618" s="306">
        <f t="shared" ca="1" si="272"/>
        <v>17.348130339587257</v>
      </c>
      <c r="H618" s="307">
        <f t="shared" ca="1" si="273"/>
        <v>-68.603363247885454</v>
      </c>
      <c r="I618" s="304">
        <f t="shared" ca="1" si="274"/>
        <v>70.76283682273224</v>
      </c>
      <c r="J618" s="306">
        <f t="shared" ca="1" si="275"/>
        <v>741.27038117256916</v>
      </c>
      <c r="K618" s="307">
        <f t="shared" ca="1" si="276"/>
        <v>1851.3035193948631</v>
      </c>
      <c r="L618" s="304">
        <f t="shared" ca="1" si="261"/>
        <v>1994.1931949857646</v>
      </c>
      <c r="M618" s="306">
        <f t="shared" ca="1" si="277"/>
        <v>-1.3231128655346502</v>
      </c>
      <c r="N618" s="304">
        <f t="shared" ca="1" si="278"/>
        <v>-75.808783014595861</v>
      </c>
      <c r="P618" s="310">
        <f t="shared" ca="1" si="279"/>
        <v>23</v>
      </c>
      <c r="Q618" s="304">
        <f t="shared" ca="1" si="280"/>
        <v>0</v>
      </c>
      <c r="R618" s="306">
        <f t="shared" ca="1" si="281"/>
        <v>0</v>
      </c>
      <c r="S618" s="307">
        <f t="shared" ca="1" si="282"/>
        <v>4.9929999999999914</v>
      </c>
      <c r="T618" s="304">
        <f t="shared" ca="1" si="262"/>
        <v>48.981329999999922</v>
      </c>
      <c r="U618" s="311">
        <f t="shared" ca="1" si="263"/>
        <v>0</v>
      </c>
      <c r="V618" s="306">
        <f t="shared" ca="1" si="264"/>
        <v>1.0174291510347835</v>
      </c>
      <c r="W618" s="304">
        <f t="shared" ca="1" si="265"/>
        <v>16.529399103684625</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6.2522912948423937</v>
      </c>
      <c r="AH618" s="304">
        <f t="shared" ca="1" si="289"/>
        <v>-3.249994759511567</v>
      </c>
    </row>
    <row r="619" spans="1:34" x14ac:dyDescent="0.2">
      <c r="A619" s="347">
        <f t="shared" ca="1" si="267"/>
        <v>0.1</v>
      </c>
      <c r="B619" s="304">
        <f t="shared" ca="1" si="268"/>
        <v>25.50000000000005</v>
      </c>
      <c r="D619" s="306">
        <f t="shared" ca="1" si="269"/>
        <v>-0.81160168710980951</v>
      </c>
      <c r="E619" s="307">
        <f t="shared" ca="1" si="270"/>
        <v>-6.6005126221967485</v>
      </c>
      <c r="F619" s="304">
        <f t="shared" ca="1" si="271"/>
        <v>6.6502228665134293</v>
      </c>
      <c r="G619" s="306">
        <f t="shared" ca="1" si="272"/>
        <v>17.266970170876277</v>
      </c>
      <c r="H619" s="307">
        <f t="shared" ca="1" si="273"/>
        <v>-69.263414510105136</v>
      </c>
      <c r="I619" s="304">
        <f t="shared" ca="1" si="274"/>
        <v>71.383253277506014</v>
      </c>
      <c r="J619" s="306">
        <f t="shared" ca="1" si="275"/>
        <v>743.00113619809235</v>
      </c>
      <c r="K619" s="307">
        <f t="shared" ca="1" si="276"/>
        <v>1844.4101805069636</v>
      </c>
      <c r="L619" s="304">
        <f t="shared" ca="1" si="261"/>
        <v>1988.4415008617643</v>
      </c>
      <c r="M619" s="306">
        <f t="shared" ca="1" si="277"/>
        <v>-1.3264820200844374</v>
      </c>
      <c r="N619" s="304">
        <f t="shared" ca="1" si="278"/>
        <v>-76.001821350825963</v>
      </c>
      <c r="P619" s="310">
        <f t="shared" ca="1" si="279"/>
        <v>23</v>
      </c>
      <c r="Q619" s="304">
        <f t="shared" ca="1" si="280"/>
        <v>0</v>
      </c>
      <c r="R619" s="306">
        <f t="shared" ca="1" si="281"/>
        <v>0</v>
      </c>
      <c r="S619" s="307">
        <f t="shared" ca="1" si="282"/>
        <v>4.9929999999999914</v>
      </c>
      <c r="T619" s="304">
        <f t="shared" ca="1" si="262"/>
        <v>48.981329999999922</v>
      </c>
      <c r="U619" s="311">
        <f t="shared" ca="1" si="263"/>
        <v>0</v>
      </c>
      <c r="V619" s="306">
        <f t="shared" ca="1" si="264"/>
        <v>1.0181367839689053</v>
      </c>
      <c r="W619" s="304">
        <f t="shared" ca="1" si="265"/>
        <v>16.83221311229298</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6.200113122797589</v>
      </c>
      <c r="AH619" s="304">
        <f t="shared" ca="1" si="289"/>
        <v>-3.310514541094463</v>
      </c>
    </row>
    <row r="620" spans="1:34" x14ac:dyDescent="0.2">
      <c r="A620" s="347">
        <f t="shared" ca="1" si="267"/>
        <v>0.1</v>
      </c>
      <c r="B620" s="304">
        <f t="shared" ca="1" si="268"/>
        <v>25.600000000000051</v>
      </c>
      <c r="D620" s="306">
        <f t="shared" ca="1" si="269"/>
        <v>-0.81545398020559534</v>
      </c>
      <c r="E620" s="307">
        <f t="shared" ca="1" si="270"/>
        <v>-6.5389497528547071</v>
      </c>
      <c r="F620" s="304">
        <f t="shared" ca="1" si="271"/>
        <v>6.5896000686074858</v>
      </c>
      <c r="G620" s="306">
        <f t="shared" ca="1" si="272"/>
        <v>17.185424772855718</v>
      </c>
      <c r="H620" s="307">
        <f t="shared" ca="1" si="273"/>
        <v>-69.917309485390604</v>
      </c>
      <c r="I620" s="304">
        <f t="shared" ca="1" si="274"/>
        <v>71.998395748095476</v>
      </c>
      <c r="J620" s="306">
        <f t="shared" ca="1" si="275"/>
        <v>744.72375594527898</v>
      </c>
      <c r="K620" s="307">
        <f t="shared" ca="1" si="276"/>
        <v>1837.4511443071888</v>
      </c>
      <c r="L620" s="304">
        <f t="shared" ca="1" si="261"/>
        <v>1982.6346563058562</v>
      </c>
      <c r="M620" s="306">
        <f t="shared" ca="1" si="277"/>
        <v>-1.3297778650589622</v>
      </c>
      <c r="N620" s="304">
        <f t="shared" ca="1" si="278"/>
        <v>-76.190659357795639</v>
      </c>
      <c r="P620" s="310">
        <f t="shared" ca="1" si="279"/>
        <v>23</v>
      </c>
      <c r="Q620" s="304">
        <f t="shared" ca="1" si="280"/>
        <v>0</v>
      </c>
      <c r="R620" s="306">
        <f t="shared" ca="1" si="281"/>
        <v>0</v>
      </c>
      <c r="S620" s="307">
        <f t="shared" ca="1" si="282"/>
        <v>4.9929999999999914</v>
      </c>
      <c r="T620" s="304">
        <f t="shared" ca="1" si="262"/>
        <v>48.981329999999922</v>
      </c>
      <c r="U620" s="311">
        <f t="shared" ca="1" si="263"/>
        <v>0</v>
      </c>
      <c r="V620" s="306">
        <f t="shared" ca="1" si="264"/>
        <v>1.0188516141923378</v>
      </c>
      <c r="W620" s="304">
        <f t="shared" ca="1" si="265"/>
        <v>17.135587390434328</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6.1475142626915691</v>
      </c>
      <c r="AH620" s="304">
        <f t="shared" ca="1" si="289"/>
        <v>-3.3711622496080529</v>
      </c>
    </row>
    <row r="621" spans="1:34" x14ac:dyDescent="0.2">
      <c r="A621" s="347">
        <f t="shared" ca="1" si="267"/>
        <v>0.1</v>
      </c>
      <c r="B621" s="304">
        <f t="shared" ca="1" si="268"/>
        <v>25.700000000000053</v>
      </c>
      <c r="D621" s="306">
        <f t="shared" ca="1" si="269"/>
        <v>-0.81917158918544819</v>
      </c>
      <c r="E621" s="307">
        <f t="shared" ca="1" si="270"/>
        <v>-6.4772762367106207</v>
      </c>
      <c r="F621" s="304">
        <f t="shared" ca="1" si="271"/>
        <v>6.5288704642675146</v>
      </c>
      <c r="G621" s="306">
        <f t="shared" ca="1" si="272"/>
        <v>17.103507613937172</v>
      </c>
      <c r="H621" s="307">
        <f t="shared" ca="1" si="273"/>
        <v>-70.565037109061663</v>
      </c>
      <c r="I621" s="304">
        <f t="shared" ca="1" si="274"/>
        <v>72.608225669708077</v>
      </c>
      <c r="J621" s="306">
        <f t="shared" ca="1" si="275"/>
        <v>746.43820256461868</v>
      </c>
      <c r="K621" s="307">
        <f t="shared" ca="1" si="276"/>
        <v>1830.4270269774661</v>
      </c>
      <c r="L621" s="304">
        <f t="shared" ca="1" si="261"/>
        <v>1976.7734041456204</v>
      </c>
      <c r="M621" s="306">
        <f t="shared" ca="1" si="277"/>
        <v>-1.3330028031917949</v>
      </c>
      <c r="N621" s="304">
        <f t="shared" ca="1" si="278"/>
        <v>-76.375434701997747</v>
      </c>
      <c r="P621" s="310">
        <f t="shared" ca="1" si="279"/>
        <v>23</v>
      </c>
      <c r="Q621" s="304">
        <f t="shared" ca="1" si="280"/>
        <v>0</v>
      </c>
      <c r="R621" s="306">
        <f t="shared" ca="1" si="281"/>
        <v>0</v>
      </c>
      <c r="S621" s="307">
        <f t="shared" ca="1" si="282"/>
        <v>4.9929999999999914</v>
      </c>
      <c r="T621" s="304">
        <f t="shared" ca="1" si="262"/>
        <v>48.981329999999922</v>
      </c>
      <c r="U621" s="311">
        <f t="shared" ca="1" si="263"/>
        <v>0</v>
      </c>
      <c r="V621" s="306">
        <f t="shared" ca="1" si="264"/>
        <v>1.0195735916868276</v>
      </c>
      <c r="W621" s="304">
        <f t="shared" ca="1" si="265"/>
        <v>17.439444416816261</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6.0945235096305961</v>
      </c>
      <c r="AH621" s="304">
        <f t="shared" ca="1" si="289"/>
        <v>-3.4319221691236446</v>
      </c>
    </row>
    <row r="622" spans="1:34" x14ac:dyDescent="0.2">
      <c r="A622" s="347">
        <f t="shared" ca="1" si="267"/>
        <v>0.1</v>
      </c>
      <c r="B622" s="304">
        <f t="shared" ca="1" si="268"/>
        <v>25.800000000000054</v>
      </c>
      <c r="D622" s="306">
        <f t="shared" ca="1" si="269"/>
        <v>-0.82275482974350567</v>
      </c>
      <c r="E622" s="307">
        <f t="shared" ca="1" si="270"/>
        <v>-6.415507688656767</v>
      </c>
      <c r="F622" s="304">
        <f t="shared" ca="1" si="271"/>
        <v>6.4680495060783478</v>
      </c>
      <c r="G622" s="306">
        <f t="shared" ca="1" si="272"/>
        <v>17.021232130962822</v>
      </c>
      <c r="H622" s="307">
        <f t="shared" ca="1" si="273"/>
        <v>-71.206587877927333</v>
      </c>
      <c r="I622" s="304">
        <f t="shared" ca="1" si="274"/>
        <v>73.212707233601932</v>
      </c>
      <c r="J622" s="306">
        <f t="shared" ca="1" si="275"/>
        <v>748.14443955186368</v>
      </c>
      <c r="K622" s="307">
        <f t="shared" ca="1" si="276"/>
        <v>1823.3384457281165</v>
      </c>
      <c r="L622" s="304">
        <f t="shared" ca="1" si="261"/>
        <v>1970.8584906336112</v>
      </c>
      <c r="M622" s="306">
        <f t="shared" ca="1" si="277"/>
        <v>-1.3361591347926054</v>
      </c>
      <c r="N622" s="304">
        <f t="shared" ca="1" si="278"/>
        <v>-76.556279181467957</v>
      </c>
      <c r="P622" s="310">
        <f t="shared" ca="1" si="279"/>
        <v>23</v>
      </c>
      <c r="Q622" s="304">
        <f t="shared" ca="1" si="280"/>
        <v>0</v>
      </c>
      <c r="R622" s="306">
        <f t="shared" ca="1" si="281"/>
        <v>0</v>
      </c>
      <c r="S622" s="307">
        <f t="shared" ca="1" si="282"/>
        <v>4.9929999999999914</v>
      </c>
      <c r="T622" s="304">
        <f t="shared" ca="1" si="262"/>
        <v>48.981329999999922</v>
      </c>
      <c r="U622" s="311">
        <f t="shared" ca="1" si="263"/>
        <v>0</v>
      </c>
      <c r="V622" s="306">
        <f t="shared" ca="1" si="264"/>
        <v>1.020302666310968</v>
      </c>
      <c r="W622" s="304">
        <f t="shared" ca="1" si="265"/>
        <v>17.743707645974002</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6.0411687599138242</v>
      </c>
      <c r="AH622" s="304">
        <f t="shared" ca="1" si="289"/>
        <v>-3.4927787736463634</v>
      </c>
    </row>
    <row r="623" spans="1:34" x14ac:dyDescent="0.2">
      <c r="A623" s="347">
        <f t="shared" ca="1" si="267"/>
        <v>0.1</v>
      </c>
      <c r="B623" s="304">
        <f t="shared" ca="1" si="268"/>
        <v>25.900000000000055</v>
      </c>
      <c r="D623" s="306">
        <f t="shared" ca="1" si="269"/>
        <v>-0.82620408012801638</v>
      </c>
      <c r="E623" s="307">
        <f t="shared" ca="1" si="270"/>
        <v>-6.3536595315729443</v>
      </c>
      <c r="F623" s="304">
        <f t="shared" ca="1" si="271"/>
        <v>6.4071524583989659</v>
      </c>
      <c r="G623" s="306">
        <f t="shared" ca="1" si="272"/>
        <v>16.938611722950021</v>
      </c>
      <c r="H623" s="307">
        <f t="shared" ca="1" si="273"/>
        <v>-71.841953831084624</v>
      </c>
      <c r="I623" s="304">
        <f t="shared" ca="1" si="274"/>
        <v>73.811807303225919</v>
      </c>
      <c r="J623" s="306">
        <f t="shared" ca="1" si="275"/>
        <v>749.84243174455935</v>
      </c>
      <c r="K623" s="307">
        <f t="shared" ca="1" si="276"/>
        <v>1816.1860186426659</v>
      </c>
      <c r="L623" s="304">
        <f t="shared" ca="1" si="261"/>
        <v>1964.8906653444337</v>
      </c>
      <c r="M623" s="306">
        <f t="shared" ca="1" si="277"/>
        <v>-1.3392490629887126</v>
      </c>
      <c r="N623" s="304">
        <f t="shared" ca="1" si="278"/>
        <v>-76.733319026103374</v>
      </c>
      <c r="P623" s="310">
        <f t="shared" ca="1" si="279"/>
        <v>23</v>
      </c>
      <c r="Q623" s="304">
        <f t="shared" ca="1" si="280"/>
        <v>0</v>
      </c>
      <c r="R623" s="306">
        <f t="shared" ca="1" si="281"/>
        <v>0</v>
      </c>
      <c r="S623" s="307">
        <f t="shared" ca="1" si="282"/>
        <v>4.9929999999999914</v>
      </c>
      <c r="T623" s="304">
        <f t="shared" ca="1" si="262"/>
        <v>48.981329999999922</v>
      </c>
      <c r="U623" s="311">
        <f t="shared" ca="1" si="263"/>
        <v>0</v>
      </c>
      <c r="V623" s="306">
        <f t="shared" ca="1" si="264"/>
        <v>1.0210387878123082</v>
      </c>
      <c r="W623" s="304">
        <f t="shared" ca="1" si="265"/>
        <v>18.048301534455561</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5.9874770502241601</v>
      </c>
      <c r="AH623" s="304">
        <f t="shared" ca="1" si="289"/>
        <v>-3.553716732620475</v>
      </c>
    </row>
    <row r="624" spans="1:34" x14ac:dyDescent="0.2">
      <c r="A624" s="347">
        <f t="shared" ca="1" si="267"/>
        <v>0.1</v>
      </c>
      <c r="B624" s="304">
        <f t="shared" ca="1" si="268"/>
        <v>26.000000000000057</v>
      </c>
      <c r="D624" s="306">
        <f t="shared" ca="1" si="269"/>
        <v>-0.82951977905596574</v>
      </c>
      <c r="E624" s="307">
        <f t="shared" ca="1" si="270"/>
        <v>-6.2917469906246062</v>
      </c>
      <c r="F624" s="304">
        <f t="shared" ca="1" si="271"/>
        <v>6.3461943917499761</v>
      </c>
      <c r="G624" s="306">
        <f t="shared" ca="1" si="272"/>
        <v>16.855659745044424</v>
      </c>
      <c r="H624" s="307">
        <f t="shared" ca="1" si="273"/>
        <v>-72.471128530147084</v>
      </c>
      <c r="I624" s="304">
        <f t="shared" ca="1" si="274"/>
        <v>74.405495333838147</v>
      </c>
      <c r="J624" s="306">
        <f t="shared" ca="1" si="275"/>
        <v>751.53214531795902</v>
      </c>
      <c r="K624" s="307">
        <f t="shared" ca="1" si="276"/>
        <v>1808.9703645246043</v>
      </c>
      <c r="L624" s="304">
        <f t="shared" ca="1" si="261"/>
        <v>1958.870681074811</v>
      </c>
      <c r="M624" s="306">
        <f t="shared" ca="1" si="277"/>
        <v>-1.3422746986582081</v>
      </c>
      <c r="N624" s="304">
        <f t="shared" ca="1" si="278"/>
        <v>-76.906675180309705</v>
      </c>
      <c r="P624" s="310">
        <f t="shared" ca="1" si="279"/>
        <v>23</v>
      </c>
      <c r="Q624" s="304">
        <f t="shared" ca="1" si="280"/>
        <v>0</v>
      </c>
      <c r="R624" s="306">
        <f t="shared" ca="1" si="281"/>
        <v>0</v>
      </c>
      <c r="S624" s="307">
        <f t="shared" ca="1" si="282"/>
        <v>4.9929999999999914</v>
      </c>
      <c r="T624" s="304">
        <f t="shared" ca="1" si="262"/>
        <v>48.981329999999922</v>
      </c>
      <c r="U624" s="311">
        <f t="shared" ca="1" si="263"/>
        <v>0</v>
      </c>
      <c r="V624" s="306">
        <f t="shared" ca="1" si="264"/>
        <v>1.0217819058393274</v>
      </c>
      <c r="W624" s="304">
        <f t="shared" ca="1" si="265"/>
        <v>18.353151565705499</v>
      </c>
      <c r="Y624" s="314" t="str">
        <f t="shared" ca="1" si="283"/>
        <v/>
      </c>
      <c r="Z624" s="315" t="str">
        <f t="shared" ca="1" si="284"/>
        <v/>
      </c>
      <c r="AA624" s="316" t="str">
        <f t="shared" ca="1" si="285"/>
        <v/>
      </c>
      <c r="AC624" s="310">
        <f t="shared" ca="1" si="286"/>
        <v>26.000000000000057</v>
      </c>
      <c r="AD624" s="323">
        <f t="shared" ca="1" si="287"/>
        <v>751.53214531795902</v>
      </c>
      <c r="AE624" s="324" t="e">
        <f t="shared" ca="1" si="266"/>
        <v>#N/A</v>
      </c>
      <c r="AG624" s="306">
        <f t="shared" ca="1" si="288"/>
        <v>5.9334745938979516</v>
      </c>
      <c r="AH624" s="304">
        <f t="shared" ca="1" si="289"/>
        <v>-3.6147209161737615</v>
      </c>
    </row>
    <row r="625" spans="1:34" x14ac:dyDescent="0.2">
      <c r="A625" s="347">
        <f t="shared" ca="1" si="267"/>
        <v>0.1</v>
      </c>
      <c r="B625" s="304">
        <f t="shared" ca="1" si="268"/>
        <v>26.100000000000058</v>
      </c>
      <c r="D625" s="306">
        <f t="shared" ca="1" si="269"/>
        <v>-0.83270242367157277</v>
      </c>
      <c r="E625" s="307">
        <f t="shared" ca="1" si="270"/>
        <v>-6.2297850878539744</v>
      </c>
      <c r="F625" s="304">
        <f t="shared" ca="1" si="271"/>
        <v>6.2851901774915495</v>
      </c>
      <c r="G625" s="306">
        <f t="shared" ca="1" si="272"/>
        <v>16.772389502677267</v>
      </c>
      <c r="H625" s="307">
        <f t="shared" ca="1" si="273"/>
        <v>-73.094107038932478</v>
      </c>
      <c r="I625" s="304">
        <f t="shared" ca="1" si="274"/>
        <v>74.99374329534723</v>
      </c>
      <c r="J625" s="306">
        <f t="shared" ca="1" si="275"/>
        <v>753.21354778034515</v>
      </c>
      <c r="K625" s="307">
        <f t="shared" ca="1" si="276"/>
        <v>1801.6921027461503</v>
      </c>
      <c r="L625" s="304">
        <f t="shared" ca="1" si="261"/>
        <v>1952.7992937467227</v>
      </c>
      <c r="M625" s="306">
        <f t="shared" ca="1" si="277"/>
        <v>-1.3452380650748499</v>
      </c>
      <c r="N625" s="304">
        <f t="shared" ca="1" si="278"/>
        <v>-77.076463569134091</v>
      </c>
      <c r="P625" s="310">
        <f t="shared" ca="1" si="279"/>
        <v>23</v>
      </c>
      <c r="Q625" s="304">
        <f t="shared" ca="1" si="280"/>
        <v>0</v>
      </c>
      <c r="R625" s="306">
        <f t="shared" ca="1" si="281"/>
        <v>0</v>
      </c>
      <c r="S625" s="307">
        <f t="shared" ca="1" si="282"/>
        <v>4.9929999999999914</v>
      </c>
      <c r="T625" s="304">
        <f t="shared" ca="1" si="262"/>
        <v>48.981329999999922</v>
      </c>
      <c r="U625" s="311">
        <f t="shared" ca="1" si="263"/>
        <v>0</v>
      </c>
      <c r="V625" s="306">
        <f t="shared" ca="1" si="264"/>
        <v>1.0225319699532835</v>
      </c>
      <c r="W625" s="304">
        <f t="shared" ca="1" si="265"/>
        <v>18.658184273650907</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5.8791868145233153</v>
      </c>
      <c r="AH625" s="304">
        <f t="shared" ca="1" si="289"/>
        <v>-3.6757764001012476</v>
      </c>
    </row>
    <row r="626" spans="1:34" x14ac:dyDescent="0.2">
      <c r="A626" s="347">
        <f t="shared" ca="1" si="267"/>
        <v>0.1</v>
      </c>
      <c r="B626" s="304">
        <f t="shared" ca="1" si="268"/>
        <v>26.20000000000006</v>
      </c>
      <c r="D626" s="306">
        <f t="shared" ca="1" si="269"/>
        <v>-0.83575256754627625</v>
      </c>
      <c r="E626" s="307">
        <f t="shared" ca="1" si="270"/>
        <v>-6.167788637060986</v>
      </c>
      <c r="F626" s="304">
        <f t="shared" ca="1" si="271"/>
        <v>6.2241544827887108</v>
      </c>
      <c r="G626" s="306">
        <f t="shared" ca="1" si="272"/>
        <v>16.688814245922639</v>
      </c>
      <c r="H626" s="307">
        <f t="shared" ca="1" si="273"/>
        <v>-73.71088590263858</v>
      </c>
      <c r="I626" s="304">
        <f t="shared" ca="1" si="274"/>
        <v>75.576525598142666</v>
      </c>
      <c r="J626" s="306">
        <f t="shared" ca="1" si="275"/>
        <v>754.88660796777515</v>
      </c>
      <c r="K626" s="307">
        <f t="shared" ca="1" si="276"/>
        <v>1794.3518530990718</v>
      </c>
      <c r="L626" s="304">
        <f t="shared" ca="1" si="261"/>
        <v>1946.6772623137012</v>
      </c>
      <c r="M626" s="306">
        <f t="shared" ca="1" si="277"/>
        <v>-1.3481411022834795</v>
      </c>
      <c r="N626" s="304">
        <f t="shared" ca="1" si="278"/>
        <v>-77.242795348958012</v>
      </c>
      <c r="P626" s="310">
        <f t="shared" ca="1" si="279"/>
        <v>23</v>
      </c>
      <c r="Q626" s="304">
        <f t="shared" ca="1" si="280"/>
        <v>0</v>
      </c>
      <c r="R626" s="306">
        <f t="shared" ca="1" si="281"/>
        <v>0</v>
      </c>
      <c r="S626" s="307">
        <f t="shared" ca="1" si="282"/>
        <v>4.9929999999999914</v>
      </c>
      <c r="T626" s="304">
        <f t="shared" ca="1" si="262"/>
        <v>48.981329999999922</v>
      </c>
      <c r="U626" s="311">
        <f t="shared" ca="1" si="263"/>
        <v>0</v>
      </c>
      <c r="V626" s="306">
        <f t="shared" ca="1" si="264"/>
        <v>1.0232889296399237</v>
      </c>
      <c r="W626" s="304">
        <f t="shared" ca="1" si="265"/>
        <v>18.963327264994575</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5.8246383770951109</v>
      </c>
      <c r="AH626" s="304">
        <f t="shared" ca="1" si="289"/>
        <v>-3.7368684705890125</v>
      </c>
    </row>
    <row r="627" spans="1:34" x14ac:dyDescent="0.2">
      <c r="A627" s="347">
        <f t="shared" ca="1" si="267"/>
        <v>0.1</v>
      </c>
      <c r="B627" s="304">
        <f t="shared" ca="1" si="268"/>
        <v>26.300000000000061</v>
      </c>
      <c r="D627" s="306">
        <f t="shared" ca="1" si="269"/>
        <v>-0.83867081871812987</v>
      </c>
      <c r="E627" s="307">
        <f t="shared" ca="1" si="270"/>
        <v>-6.1057722389709008</v>
      </c>
      <c r="F627" s="304">
        <f t="shared" ca="1" si="271"/>
        <v>6.1631017658608451</v>
      </c>
      <c r="G627" s="306">
        <f t="shared" ca="1" si="272"/>
        <v>16.604947164050827</v>
      </c>
      <c r="H627" s="307">
        <f t="shared" ca="1" si="273"/>
        <v>-74.321463126535676</v>
      </c>
      <c r="I627" s="304">
        <f t="shared" ca="1" si="274"/>
        <v>76.153819021700556</v>
      </c>
      <c r="J627" s="306">
        <f t="shared" ca="1" si="275"/>
        <v>756.55129603827379</v>
      </c>
      <c r="K627" s="307">
        <f t="shared" ca="1" si="276"/>
        <v>1786.9502356476132</v>
      </c>
      <c r="L627" s="304">
        <f t="shared" ca="1" si="261"/>
        <v>1940.5053486703539</v>
      </c>
      <c r="M627" s="306">
        <f t="shared" ca="1" si="277"/>
        <v>-1.3509856712234141</v>
      </c>
      <c r="N627" s="304">
        <f t="shared" ca="1" si="278"/>
        <v>-77.405777143750257</v>
      </c>
      <c r="P627" s="310">
        <f t="shared" ca="1" si="279"/>
        <v>23</v>
      </c>
      <c r="Q627" s="304">
        <f t="shared" ca="1" si="280"/>
        <v>0</v>
      </c>
      <c r="R627" s="306">
        <f t="shared" ca="1" si="281"/>
        <v>0</v>
      </c>
      <c r="S627" s="307">
        <f t="shared" ca="1" si="282"/>
        <v>4.9929999999999914</v>
      </c>
      <c r="T627" s="304">
        <f t="shared" ca="1" si="262"/>
        <v>48.981329999999922</v>
      </c>
      <c r="U627" s="311">
        <f t="shared" ca="1" si="263"/>
        <v>0</v>
      </c>
      <c r="V627" s="306">
        <f t="shared" ca="1" si="264"/>
        <v>1.0240527343210541</v>
      </c>
      <c r="W627" s="304">
        <f t="shared" ca="1" si="265"/>
        <v>19.268509240222034</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5.7698532169350738</v>
      </c>
      <c r="AH627" s="304">
        <f t="shared" ca="1" si="289"/>
        <v>-3.7979826286790721</v>
      </c>
    </row>
    <row r="628" spans="1:34" x14ac:dyDescent="0.2">
      <c r="A628" s="347">
        <f t="shared" ca="1" si="267"/>
        <v>0.1</v>
      </c>
      <c r="B628" s="304">
        <f t="shared" ca="1" si="268"/>
        <v>26.400000000000063</v>
      </c>
      <c r="D628" s="306">
        <f t="shared" ca="1" si="269"/>
        <v>-0.84145783776872707</v>
      </c>
      <c r="E628" s="307">
        <f t="shared" ca="1" si="270"/>
        <v>-6.0437502766852269</v>
      </c>
      <c r="F628" s="304">
        <f t="shared" ca="1" si="271"/>
        <v>6.1020462715121369</v>
      </c>
      <c r="G628" s="306">
        <f t="shared" ca="1" si="272"/>
        <v>16.520801380273955</v>
      </c>
      <c r="H628" s="307">
        <f t="shared" ca="1" si="273"/>
        <v>-74.9258381542042</v>
      </c>
      <c r="I628" s="304">
        <f t="shared" ca="1" si="274"/>
        <v>76.725602645769186</v>
      </c>
      <c r="J628" s="306">
        <f t="shared" ca="1" si="275"/>
        <v>758.20758346549007</v>
      </c>
      <c r="K628" s="307">
        <f t="shared" ca="1" si="276"/>
        <v>1779.4878705835763</v>
      </c>
      <c r="L628" s="304">
        <f t="shared" ca="1" si="261"/>
        <v>1934.284317565194</v>
      </c>
      <c r="M628" s="306">
        <f t="shared" ca="1" si="277"/>
        <v>-1.353773557616023</v>
      </c>
      <c r="N628" s="304">
        <f t="shared" ca="1" si="278"/>
        <v>-77.565511267808702</v>
      </c>
      <c r="P628" s="310">
        <f t="shared" ca="1" si="279"/>
        <v>23</v>
      </c>
      <c r="Q628" s="304">
        <f t="shared" ca="1" si="280"/>
        <v>0</v>
      </c>
      <c r="R628" s="306">
        <f t="shared" ca="1" si="281"/>
        <v>0</v>
      </c>
      <c r="S628" s="307">
        <f t="shared" ca="1" si="282"/>
        <v>4.9929999999999914</v>
      </c>
      <c r="T628" s="304">
        <f t="shared" ca="1" si="262"/>
        <v>48.981329999999922</v>
      </c>
      <c r="U628" s="311">
        <f t="shared" ca="1" si="263"/>
        <v>0</v>
      </c>
      <c r="V628" s="306">
        <f t="shared" ca="1" si="264"/>
        <v>1.0248233333659675</v>
      </c>
      <c r="W628" s="304">
        <f t="shared" ca="1" si="265"/>
        <v>19.573660013330844</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5.714854566567559</v>
      </c>
      <c r="AH628" s="304">
        <f t="shared" ca="1" si="289"/>
        <v>-3.8591045944766806</v>
      </c>
    </row>
    <row r="629" spans="1:34" x14ac:dyDescent="0.2">
      <c r="A629" s="347">
        <f t="shared" ca="1" si="267"/>
        <v>0.1</v>
      </c>
      <c r="B629" s="304">
        <f t="shared" ca="1" si="268"/>
        <v>26.500000000000064</v>
      </c>
      <c r="D629" s="306">
        <f t="shared" ca="1" si="269"/>
        <v>-0.84411433593605678</v>
      </c>
      <c r="E629" s="307">
        <f t="shared" ca="1" si="270"/>
        <v>-5.9817369114124777</v>
      </c>
      <c r="F629" s="304">
        <f t="shared" ca="1" si="271"/>
        <v>6.0410020269395091</v>
      </c>
      <c r="G629" s="306">
        <f t="shared" ca="1" si="272"/>
        <v>16.43638994668035</v>
      </c>
      <c r="H629" s="307">
        <f t="shared" ca="1" si="273"/>
        <v>-75.524011845345441</v>
      </c>
      <c r="I629" s="304">
        <f t="shared" ca="1" si="274"/>
        <v>77.291857783955578</v>
      </c>
      <c r="J629" s="306">
        <f t="shared" ca="1" si="275"/>
        <v>759.85544303183781</v>
      </c>
      <c r="K629" s="307">
        <f t="shared" ca="1" si="276"/>
        <v>1771.9653780835988</v>
      </c>
      <c r="L629" s="304">
        <f t="shared" ca="1" si="261"/>
        <v>1928.014936516847</v>
      </c>
      <c r="M629" s="306">
        <f t="shared" ca="1" si="277"/>
        <v>-1.3565064756315761</v>
      </c>
      <c r="N629" s="304">
        <f t="shared" ca="1" si="278"/>
        <v>-77.722095935855165</v>
      </c>
      <c r="P629" s="310">
        <f t="shared" ca="1" si="279"/>
        <v>23</v>
      </c>
      <c r="Q629" s="304">
        <f t="shared" ca="1" si="280"/>
        <v>0</v>
      </c>
      <c r="R629" s="306">
        <f t="shared" ca="1" si="281"/>
        <v>0</v>
      </c>
      <c r="S629" s="307">
        <f t="shared" ca="1" si="282"/>
        <v>4.9929999999999914</v>
      </c>
      <c r="T629" s="304">
        <f t="shared" ca="1" si="262"/>
        <v>48.981329999999922</v>
      </c>
      <c r="U629" s="311">
        <f t="shared" ca="1" si="263"/>
        <v>0</v>
      </c>
      <c r="V629" s="306">
        <f t="shared" ca="1" si="264"/>
        <v>1.0256006761027221</v>
      </c>
      <c r="W629" s="304">
        <f t="shared" ca="1" si="265"/>
        <v>19.878710530291706</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5.6596649807249744</v>
      </c>
      <c r="AH629" s="304">
        <f t="shared" ca="1" si="289"/>
        <v>-3.9202203111017178</v>
      </c>
    </row>
    <row r="630" spans="1:34" x14ac:dyDescent="0.2">
      <c r="A630" s="347">
        <f t="shared" ca="1" si="267"/>
        <v>0.1</v>
      </c>
      <c r="B630" s="304">
        <f t="shared" ca="1" si="268"/>
        <v>26.600000000000065</v>
      </c>
      <c r="D630" s="306">
        <f t="shared" ca="1" si="269"/>
        <v>-0.84664107326186089</v>
      </c>
      <c r="E630" s="307">
        <f t="shared" ca="1" si="270"/>
        <v>-5.919746078475157</v>
      </c>
      <c r="F630" s="304">
        <f t="shared" ca="1" si="271"/>
        <v>5.9799828378145028</v>
      </c>
      <c r="G630" s="306">
        <f t="shared" ca="1" si="272"/>
        <v>16.351725839354163</v>
      </c>
      <c r="H630" s="307">
        <f t="shared" ca="1" si="273"/>
        <v>-76.11598645319296</v>
      </c>
      <c r="I630" s="304">
        <f t="shared" ca="1" si="274"/>
        <v>77.852567919549429</v>
      </c>
      <c r="J630" s="306">
        <f t="shared" ca="1" si="275"/>
        <v>761.4948488211395</v>
      </c>
      <c r="K630" s="307">
        <f t="shared" ca="1" si="276"/>
        <v>1764.3833781686719</v>
      </c>
      <c r="L630" s="304">
        <f t="shared" ca="1" si="261"/>
        <v>1921.6979757337065</v>
      </c>
      <c r="M630" s="306">
        <f t="shared" ca="1" si="277"/>
        <v>-1.3591860713494013</v>
      </c>
      <c r="N630" s="304">
        <f t="shared" ca="1" si="278"/>
        <v>-77.875625461287868</v>
      </c>
      <c r="P630" s="310">
        <f t="shared" ca="1" si="279"/>
        <v>23</v>
      </c>
      <c r="Q630" s="304">
        <f t="shared" ca="1" si="280"/>
        <v>0</v>
      </c>
      <c r="R630" s="306">
        <f t="shared" ca="1" si="281"/>
        <v>0</v>
      </c>
      <c r="S630" s="307">
        <f t="shared" ca="1" si="282"/>
        <v>4.9929999999999914</v>
      </c>
      <c r="T630" s="304">
        <f t="shared" ca="1" si="262"/>
        <v>48.981329999999922</v>
      </c>
      <c r="U630" s="311">
        <f t="shared" ca="1" si="263"/>
        <v>0</v>
      </c>
      <c r="V630" s="306">
        <f t="shared" ca="1" si="264"/>
        <v>1.0263847118292686</v>
      </c>
      <c r="W630" s="304">
        <f t="shared" ca="1" si="265"/>
        <v>20.183592886252622</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5.6043063596422567</v>
      </c>
      <c r="AH630" s="304">
        <f t="shared" ca="1" si="289"/>
        <v>-3.9813159483860883</v>
      </c>
    </row>
    <row r="631" spans="1:34" x14ac:dyDescent="0.2">
      <c r="A631" s="347">
        <f t="shared" ca="1" si="267"/>
        <v>0.1</v>
      </c>
      <c r="B631" s="304">
        <f t="shared" ca="1" si="268"/>
        <v>26.700000000000067</v>
      </c>
      <c r="D631" s="306">
        <f t="shared" ca="1" si="269"/>
        <v>-0.84903885677223445</v>
      </c>
      <c r="E631" s="307">
        <f t="shared" ca="1" si="270"/>
        <v>-5.8577914835892155</v>
      </c>
      <c r="F631" s="304">
        <f t="shared" ca="1" si="271"/>
        <v>5.9190022846354307</v>
      </c>
      <c r="G631" s="306">
        <f t="shared" ca="1" si="272"/>
        <v>16.266821953676939</v>
      </c>
      <c r="H631" s="307">
        <f t="shared" ca="1" si="273"/>
        <v>-76.701765601551884</v>
      </c>
      <c r="I631" s="304">
        <f t="shared" ca="1" si="274"/>
        <v>78.407718643434805</v>
      </c>
      <c r="J631" s="306">
        <f t="shared" ca="1" si="275"/>
        <v>763.12577621079106</v>
      </c>
      <c r="K631" s="307">
        <f t="shared" ca="1" si="276"/>
        <v>1756.7424905659348</v>
      </c>
      <c r="L631" s="304">
        <f t="shared" ca="1" si="261"/>
        <v>1915.3342080371053</v>
      </c>
      <c r="M631" s="306">
        <f t="shared" ca="1" si="277"/>
        <v>-1.3618139260244058</v>
      </c>
      <c r="N631" s="304">
        <f t="shared" ca="1" si="278"/>
        <v>-78.02619044333936</v>
      </c>
      <c r="P631" s="310">
        <f t="shared" ca="1" si="279"/>
        <v>23</v>
      </c>
      <c r="Q631" s="304">
        <f t="shared" ca="1" si="280"/>
        <v>0</v>
      </c>
      <c r="R631" s="306">
        <f t="shared" ca="1" si="281"/>
        <v>0</v>
      </c>
      <c r="S631" s="307">
        <f t="shared" ca="1" si="282"/>
        <v>4.9929999999999914</v>
      </c>
      <c r="T631" s="304">
        <f t="shared" ca="1" si="262"/>
        <v>48.981329999999922</v>
      </c>
      <c r="U631" s="311">
        <f t="shared" ca="1" si="263"/>
        <v>0</v>
      </c>
      <c r="V631" s="306">
        <f t="shared" ca="1" si="264"/>
        <v>1.0271753898244267</v>
      </c>
      <c r="W631" s="304">
        <f t="shared" ca="1" si="265"/>
        <v>20.488240341498685</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5.5487999707859554</v>
      </c>
      <c r="AH631" s="304">
        <f t="shared" ca="1" si="289"/>
        <v>-4.0423779063193788</v>
      </c>
    </row>
    <row r="632" spans="1:34" x14ac:dyDescent="0.2">
      <c r="A632" s="347">
        <f t="shared" ca="1" si="267"/>
        <v>0.1</v>
      </c>
      <c r="B632" s="304">
        <f t="shared" ca="1" si="268"/>
        <v>26.800000000000068</v>
      </c>
      <c r="D632" s="306">
        <f t="shared" ca="1" si="269"/>
        <v>-0.85130853869042777</v>
      </c>
      <c r="E632" s="307">
        <f t="shared" ca="1" si="270"/>
        <v>-5.7958865994120492</v>
      </c>
      <c r="F632" s="304">
        <f t="shared" ca="1" si="271"/>
        <v>5.8580737193459251</v>
      </c>
      <c r="G632" s="306">
        <f t="shared" ca="1" si="272"/>
        <v>16.181691099807896</v>
      </c>
      <c r="H632" s="307">
        <f t="shared" ca="1" si="273"/>
        <v>-77.281354261493092</v>
      </c>
      <c r="I632" s="304">
        <f t="shared" ca="1" si="274"/>
        <v>78.957297593952632</v>
      </c>
      <c r="J632" s="306">
        <f t="shared" ca="1" si="275"/>
        <v>764.74820186346528</v>
      </c>
      <c r="K632" s="307">
        <f t="shared" ca="1" si="276"/>
        <v>1749.0433345727824</v>
      </c>
      <c r="L632" s="304">
        <f t="shared" ca="1" si="261"/>
        <v>1908.9244087880697</v>
      </c>
      <c r="M632" s="306">
        <f t="shared" ca="1" si="277"/>
        <v>-1.3643915591721287</v>
      </c>
      <c r="N632" s="304">
        <f t="shared" ca="1" si="278"/>
        <v>-78.173877943836899</v>
      </c>
      <c r="P632" s="310">
        <f t="shared" ca="1" si="279"/>
        <v>23</v>
      </c>
      <c r="Q632" s="304">
        <f t="shared" ca="1" si="280"/>
        <v>0</v>
      </c>
      <c r="R632" s="306">
        <f t="shared" ca="1" si="281"/>
        <v>0</v>
      </c>
      <c r="S632" s="307">
        <f t="shared" ca="1" si="282"/>
        <v>4.9929999999999914</v>
      </c>
      <c r="T632" s="304">
        <f t="shared" ca="1" si="262"/>
        <v>48.981329999999922</v>
      </c>
      <c r="U632" s="311">
        <f t="shared" ca="1" si="263"/>
        <v>0</v>
      </c>
      <c r="V632" s="306">
        <f t="shared" ca="1" si="264"/>
        <v>1.0279726593586977</v>
      </c>
      <c r="W632" s="304">
        <f t="shared" ca="1" si="265"/>
        <v>20.792587336181057</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5.4931664691511886</v>
      </c>
      <c r="AH632" s="304">
        <f t="shared" ca="1" si="289"/>
        <v>-4.103392818245287</v>
      </c>
    </row>
    <row r="633" spans="1:34" x14ac:dyDescent="0.2">
      <c r="A633" s="347">
        <f t="shared" ca="1" si="267"/>
        <v>0.1</v>
      </c>
      <c r="B633" s="304">
        <f t="shared" ca="1" si="268"/>
        <v>26.90000000000007</v>
      </c>
      <c r="D633" s="306">
        <f t="shared" ca="1" si="269"/>
        <v>-0.85345101468088147</v>
      </c>
      <c r="E633" s="307">
        <f t="shared" ca="1" si="270"/>
        <v>-5.7340446623550383</v>
      </c>
      <c r="F633" s="304">
        <f t="shared" ca="1" si="271"/>
        <v>5.7972102622159678</v>
      </c>
      <c r="G633" s="306">
        <f t="shared" ca="1" si="272"/>
        <v>16.096345998339807</v>
      </c>
      <c r="H633" s="307">
        <f t="shared" ca="1" si="273"/>
        <v>-77.854758727728594</v>
      </c>
      <c r="I633" s="304">
        <f t="shared" ca="1" si="274"/>
        <v>79.501294398588897</v>
      </c>
      <c r="J633" s="306">
        <f t="shared" ca="1" si="275"/>
        <v>766.36210371837262</v>
      </c>
      <c r="K633" s="307">
        <f t="shared" ca="1" si="276"/>
        <v>1741.2865289233214</v>
      </c>
      <c r="L633" s="304">
        <f t="shared" ca="1" si="261"/>
        <v>1902.4693558177169</v>
      </c>
      <c r="M633" s="306">
        <f t="shared" ca="1" si="277"/>
        <v>-1.3669204314836485</v>
      </c>
      <c r="N633" s="304">
        <f t="shared" ca="1" si="278"/>
        <v>-78.318771654214473</v>
      </c>
      <c r="P633" s="310">
        <f t="shared" ca="1" si="279"/>
        <v>23</v>
      </c>
      <c r="Q633" s="304">
        <f t="shared" ca="1" si="280"/>
        <v>0</v>
      </c>
      <c r="R633" s="306">
        <f t="shared" ca="1" si="281"/>
        <v>0</v>
      </c>
      <c r="S633" s="307">
        <f t="shared" ca="1" si="282"/>
        <v>4.9929999999999914</v>
      </c>
      <c r="T633" s="304">
        <f t="shared" ca="1" si="262"/>
        <v>48.981329999999922</v>
      </c>
      <c r="U633" s="311">
        <f t="shared" ca="1" si="263"/>
        <v>0</v>
      </c>
      <c r="V633" s="306">
        <f t="shared" ca="1" si="264"/>
        <v>1.0287764697049229</v>
      </c>
      <c r="W633" s="304">
        <f t="shared" ca="1" si="265"/>
        <v>21.096569503830477</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5.4374259162484533</v>
      </c>
      <c r="AH633" s="304">
        <f t="shared" ca="1" si="289"/>
        <v>-4.1643475538115551</v>
      </c>
    </row>
    <row r="634" spans="1:34" x14ac:dyDescent="0.2">
      <c r="A634" s="347">
        <f t="shared" ca="1" si="267"/>
        <v>0.1</v>
      </c>
      <c r="B634" s="304">
        <f t="shared" ca="1" si="268"/>
        <v>27.000000000000071</v>
      </c>
      <c r="D634" s="306">
        <f t="shared" ca="1" si="269"/>
        <v>-0.85546722212370996</v>
      </c>
      <c r="E634" s="307">
        <f t="shared" ca="1" si="270"/>
        <v>-5.6722786696563876</v>
      </c>
      <c r="F634" s="304">
        <f t="shared" ca="1" si="271"/>
        <v>5.7364247989812345</v>
      </c>
      <c r="G634" s="306">
        <f t="shared" ca="1" si="272"/>
        <v>16.010799276127436</v>
      </c>
      <c r="H634" s="307">
        <f t="shared" ca="1" si="273"/>
        <v>-78.421986594694232</v>
      </c>
      <c r="I634" s="304">
        <f t="shared" ca="1" si="274"/>
        <v>80.039700617373896</v>
      </c>
      <c r="J634" s="306">
        <f t="shared" ca="1" si="275"/>
        <v>767.96746098209599</v>
      </c>
      <c r="K634" s="307">
        <f t="shared" ca="1" si="276"/>
        <v>1733.4726916572004</v>
      </c>
      <c r="L634" s="304">
        <f t="shared" ca="1" si="261"/>
        <v>1895.9698293613603</v>
      </c>
      <c r="M634" s="306">
        <f t="shared" ca="1" si="277"/>
        <v>-1.369401947580895</v>
      </c>
      <c r="N634" s="304">
        <f t="shared" ca="1" si="278"/>
        <v>-78.460952053380467</v>
      </c>
      <c r="P634" s="310">
        <f t="shared" ca="1" si="279"/>
        <v>23</v>
      </c>
      <c r="Q634" s="304">
        <f t="shared" ca="1" si="280"/>
        <v>0</v>
      </c>
      <c r="R634" s="306">
        <f t="shared" ca="1" si="281"/>
        <v>0</v>
      </c>
      <c r="S634" s="307">
        <f t="shared" ca="1" si="282"/>
        <v>4.9929999999999914</v>
      </c>
      <c r="T634" s="304">
        <f t="shared" ca="1" si="262"/>
        <v>48.981329999999922</v>
      </c>
      <c r="U634" s="311">
        <f t="shared" ca="1" si="263"/>
        <v>0</v>
      </c>
      <c r="V634" s="306">
        <f t="shared" ca="1" si="264"/>
        <v>1.0295867701487746</v>
      </c>
      <c r="W634" s="304">
        <f t="shared" ca="1" si="265"/>
        <v>21.40012368367125</v>
      </c>
      <c r="Y634" s="314" t="str">
        <f t="shared" ca="1" si="283"/>
        <v/>
      </c>
      <c r="Z634" s="315" t="str">
        <f t="shared" ca="1" si="284"/>
        <v/>
      </c>
      <c r="AA634" s="316" t="str">
        <f t="shared" ca="1" si="285"/>
        <v/>
      </c>
      <c r="AC634" s="310">
        <f t="shared" ca="1" si="286"/>
        <v>27.000000000000071</v>
      </c>
      <c r="AD634" s="323">
        <f t="shared" ca="1" si="287"/>
        <v>767.96746098209599</v>
      </c>
      <c r="AE634" s="324" t="e">
        <f t="shared" ca="1" si="266"/>
        <v>#N/A</v>
      </c>
      <c r="AG634" s="306">
        <f t="shared" ca="1" si="288"/>
        <v>5.3815977978918488</v>
      </c>
      <c r="AH634" s="304">
        <f t="shared" ca="1" si="289"/>
        <v>-4.2252292216764493</v>
      </c>
    </row>
    <row r="635" spans="1:34" x14ac:dyDescent="0.2">
      <c r="A635" s="347">
        <f t="shared" ca="1" si="267"/>
        <v>0.1</v>
      </c>
      <c r="B635" s="304">
        <f t="shared" ca="1" si="268"/>
        <v>27.100000000000072</v>
      </c>
      <c r="D635" s="306">
        <f t="shared" ca="1" si="269"/>
        <v>-0.8573581384189487</v>
      </c>
      <c r="E635" s="307">
        <f t="shared" ca="1" si="270"/>
        <v>-5.6106013767099565</v>
      </c>
      <c r="F635" s="304">
        <f t="shared" ca="1" si="271"/>
        <v>5.6757299782365314</v>
      </c>
      <c r="G635" s="306">
        <f t="shared" ca="1" si="272"/>
        <v>15.925063462285541</v>
      </c>
      <c r="H635" s="307">
        <f t="shared" ca="1" si="273"/>
        <v>-78.983046732365224</v>
      </c>
      <c r="I635" s="304">
        <f t="shared" ca="1" si="274"/>
        <v>80.572509687888029</v>
      </c>
      <c r="J635" s="306">
        <f t="shared" ca="1" si="275"/>
        <v>769.5642541190166</v>
      </c>
      <c r="K635" s="307">
        <f t="shared" ca="1" si="276"/>
        <v>1725.6024399908474</v>
      </c>
      <c r="L635" s="304">
        <f t="shared" ca="1" si="261"/>
        <v>1889.4266119963816</v>
      </c>
      <c r="M635" s="306">
        <f t="shared" ca="1" si="277"/>
        <v>-1.3718374586222046</v>
      </c>
      <c r="N635" s="304">
        <f t="shared" ca="1" si="278"/>
        <v>-78.60049655700503</v>
      </c>
      <c r="P635" s="310">
        <f t="shared" ca="1" si="279"/>
        <v>23</v>
      </c>
      <c r="Q635" s="304">
        <f t="shared" ca="1" si="280"/>
        <v>0</v>
      </c>
      <c r="R635" s="306">
        <f t="shared" ca="1" si="281"/>
        <v>0</v>
      </c>
      <c r="S635" s="307">
        <f t="shared" ca="1" si="282"/>
        <v>4.9929999999999914</v>
      </c>
      <c r="T635" s="304">
        <f t="shared" ca="1" si="262"/>
        <v>48.981329999999922</v>
      </c>
      <c r="U635" s="311">
        <f t="shared" ca="1" si="263"/>
        <v>0</v>
      </c>
      <c r="V635" s="306">
        <f t="shared" ca="1" si="264"/>
        <v>1.0304035099990829</v>
      </c>
      <c r="W635" s="304">
        <f t="shared" ca="1" si="265"/>
        <v>21.703187931753167</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5.3257010408908636</v>
      </c>
      <c r="AH635" s="304">
        <f t="shared" ca="1" si="289"/>
        <v>-4.2860251719750222</v>
      </c>
    </row>
    <row r="636" spans="1:34" x14ac:dyDescent="0.2">
      <c r="A636" s="347">
        <f t="shared" ca="1" si="267"/>
        <v>0.1</v>
      </c>
      <c r="B636" s="304">
        <f t="shared" ca="1" si="268"/>
        <v>27.200000000000074</v>
      </c>
      <c r="D636" s="306">
        <f t="shared" ca="1" si="269"/>
        <v>-0.85912477931996722</v>
      </c>
      <c r="E636" s="307">
        <f t="shared" ca="1" si="270"/>
        <v>-5.5490252946456229</v>
      </c>
      <c r="F636" s="304">
        <f t="shared" ca="1" si="271"/>
        <v>5.6151382090789648</v>
      </c>
      <c r="G636" s="306">
        <f t="shared" ca="1" si="272"/>
        <v>15.839150984353545</v>
      </c>
      <c r="H636" s="307">
        <f t="shared" ca="1" si="273"/>
        <v>-79.53794926182978</v>
      </c>
      <c r="I636" s="304">
        <f t="shared" ca="1" si="274"/>
        <v>81.099716871778014</v>
      </c>
      <c r="J636" s="306">
        <f t="shared" ca="1" si="275"/>
        <v>771.15246484134855</v>
      </c>
      <c r="K636" s="307">
        <f t="shared" ca="1" si="276"/>
        <v>1717.6763901911377</v>
      </c>
      <c r="L636" s="304">
        <f t="shared" ca="1" si="261"/>
        <v>1882.8404885839227</v>
      </c>
      <c r="M636" s="306">
        <f t="shared" ca="1" si="277"/>
        <v>-1.3742282647672854</v>
      </c>
      <c r="N636" s="304">
        <f t="shared" ca="1" si="278"/>
        <v>-78.737479658752108</v>
      </c>
      <c r="P636" s="310">
        <f t="shared" ca="1" si="279"/>
        <v>23</v>
      </c>
      <c r="Q636" s="304">
        <f t="shared" ca="1" si="280"/>
        <v>0</v>
      </c>
      <c r="R636" s="306">
        <f t="shared" ca="1" si="281"/>
        <v>0</v>
      </c>
      <c r="S636" s="307">
        <f t="shared" ca="1" si="282"/>
        <v>4.9929999999999914</v>
      </c>
      <c r="T636" s="304">
        <f t="shared" ca="1" si="262"/>
        <v>48.981329999999922</v>
      </c>
      <c r="U636" s="311">
        <f t="shared" ca="1" si="263"/>
        <v>0</v>
      </c>
      <c r="V636" s="306">
        <f t="shared" ca="1" si="264"/>
        <v>1.0312266385979958</v>
      </c>
      <c r="W636" s="304">
        <f t="shared" ca="1" si="265"/>
        <v>22.005701530919637</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5.2697540287392393</v>
      </c>
      <c r="AH636" s="304">
        <f t="shared" ca="1" si="289"/>
        <v>-4.3467229985486089</v>
      </c>
    </row>
    <row r="637" spans="1:34" x14ac:dyDescent="0.2">
      <c r="A637" s="347">
        <f t="shared" ca="1" si="267"/>
        <v>0.1</v>
      </c>
      <c r="B637" s="304">
        <f t="shared" ca="1" si="268"/>
        <v>27.300000000000075</v>
      </c>
      <c r="D637" s="306">
        <f t="shared" ca="1" si="269"/>
        <v>-0.86076819729556864</v>
      </c>
      <c r="E637" s="307">
        <f t="shared" ca="1" si="270"/>
        <v>-5.4875626881565527</v>
      </c>
      <c r="F637" s="304">
        <f t="shared" ca="1" si="271"/>
        <v>5.5546616589962916</v>
      </c>
      <c r="G637" s="306">
        <f t="shared" ca="1" si="272"/>
        <v>15.753074164623987</v>
      </c>
      <c r="H637" s="307">
        <f t="shared" ca="1" si="273"/>
        <v>-80.086705530645432</v>
      </c>
      <c r="I637" s="304">
        <f t="shared" ca="1" si="274"/>
        <v>81.621319202696412</v>
      </c>
      <c r="J637" s="306">
        <f t="shared" ca="1" si="275"/>
        <v>772.73207609879739</v>
      </c>
      <c r="K637" s="307">
        <f t="shared" ca="1" si="276"/>
        <v>1709.695157451514</v>
      </c>
      <c r="L637" s="304">
        <f t="shared" ca="1" si="261"/>
        <v>1876.2122462144614</v>
      </c>
      <c r="M637" s="306">
        <f t="shared" ca="1" si="277"/>
        <v>-1.3765756175101449</v>
      </c>
      <c r="N637" s="304">
        <f t="shared" ca="1" si="278"/>
        <v>-78.871973063946413</v>
      </c>
      <c r="P637" s="310">
        <f t="shared" ca="1" si="279"/>
        <v>23</v>
      </c>
      <c r="Q637" s="304">
        <f t="shared" ca="1" si="280"/>
        <v>0</v>
      </c>
      <c r="R637" s="306">
        <f t="shared" ca="1" si="281"/>
        <v>0</v>
      </c>
      <c r="S637" s="307">
        <f t="shared" ca="1" si="282"/>
        <v>4.9929999999999914</v>
      </c>
      <c r="T637" s="304">
        <f t="shared" ca="1" si="262"/>
        <v>48.981329999999922</v>
      </c>
      <c r="U637" s="311">
        <f t="shared" ca="1" si="263"/>
        <v>0</v>
      </c>
      <c r="V637" s="306">
        <f t="shared" ca="1" si="264"/>
        <v>1.0320561053309638</v>
      </c>
      <c r="W637" s="304">
        <f t="shared" ca="1" si="265"/>
        <v>22.307604999631344</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5.2137746163865453</v>
      </c>
      <c r="AH637" s="304">
        <f t="shared" ca="1" si="289"/>
        <v>-4.4073105409412525</v>
      </c>
    </row>
    <row r="638" spans="1:34" x14ac:dyDescent="0.2">
      <c r="A638" s="347">
        <f t="shared" ca="1" si="267"/>
        <v>0.1</v>
      </c>
      <c r="B638" s="304">
        <f t="shared" ca="1" si="268"/>
        <v>27.400000000000077</v>
      </c>
      <c r="D638" s="306">
        <f t="shared" ca="1" si="269"/>
        <v>-0.86228947992035043</v>
      </c>
      <c r="E638" s="307">
        <f t="shared" ca="1" si="270"/>
        <v>-5.4262255735686846</v>
      </c>
      <c r="F638" s="304">
        <f t="shared" ca="1" si="271"/>
        <v>5.4943122519958862</v>
      </c>
      <c r="G638" s="306">
        <f t="shared" ca="1" si="272"/>
        <v>15.666845216631952</v>
      </c>
      <c r="H638" s="307">
        <f t="shared" ca="1" si="273"/>
        <v>-80.629328088002296</v>
      </c>
      <c r="I638" s="304">
        <f t="shared" ca="1" si="274"/>
        <v>82.137315435583957</v>
      </c>
      <c r="J638" s="306">
        <f t="shared" ca="1" si="275"/>
        <v>774.30307206786017</v>
      </c>
      <c r="K638" s="307">
        <f t="shared" ca="1" si="276"/>
        <v>1701.6593557705817</v>
      </c>
      <c r="L638" s="304">
        <f t="shared" ca="1" si="261"/>
        <v>1869.5426741573131</v>
      </c>
      <c r="M638" s="306">
        <f t="shared" ca="1" si="277"/>
        <v>-1.3788807218879635</v>
      </c>
      <c r="N638" s="304">
        <f t="shared" ca="1" si="278"/>
        <v>-79.004045816132546</v>
      </c>
      <c r="P638" s="310">
        <f t="shared" ca="1" si="279"/>
        <v>23</v>
      </c>
      <c r="Q638" s="304">
        <f t="shared" ca="1" si="280"/>
        <v>0</v>
      </c>
      <c r="R638" s="306">
        <f t="shared" ca="1" si="281"/>
        <v>0</v>
      </c>
      <c r="S638" s="307">
        <f t="shared" ca="1" si="282"/>
        <v>4.9929999999999914</v>
      </c>
      <c r="T638" s="304">
        <f t="shared" ca="1" si="262"/>
        <v>48.981329999999922</v>
      </c>
      <c r="U638" s="311">
        <f t="shared" ca="1" si="263"/>
        <v>0</v>
      </c>
      <c r="V638" s="306">
        <f t="shared" ca="1" si="264"/>
        <v>1.0328918596365606</v>
      </c>
      <c r="W638" s="304">
        <f t="shared" ca="1" si="265"/>
        <v>22.608840099665745</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5.1577801441707773</v>
      </c>
      <c r="AH638" s="304">
        <f t="shared" ca="1" si="289"/>
        <v>-4.4677758861669101</v>
      </c>
    </row>
    <row r="639" spans="1:34" x14ac:dyDescent="0.2">
      <c r="A639" s="347">
        <f t="shared" ca="1" si="267"/>
        <v>0.1</v>
      </c>
      <c r="B639" s="304">
        <f t="shared" ca="1" si="268"/>
        <v>27.500000000000078</v>
      </c>
      <c r="D639" s="306">
        <f t="shared" ca="1" si="269"/>
        <v>-0.8636897482929814</v>
      </c>
      <c r="E639" s="307">
        <f t="shared" ca="1" si="270"/>
        <v>-5.3650257171475513</v>
      </c>
      <c r="F639" s="304">
        <f t="shared" ca="1" si="271"/>
        <v>5.4341016669695268</v>
      </c>
      <c r="G639" s="306">
        <f t="shared" ca="1" si="272"/>
        <v>15.580476241802653</v>
      </c>
      <c r="H639" s="307">
        <f t="shared" ca="1" si="273"/>
        <v>-81.165830659717045</v>
      </c>
      <c r="I639" s="304">
        <f t="shared" ca="1" si="274"/>
        <v>82.647705997221962</v>
      </c>
      <c r="J639" s="306">
        <f t="shared" ca="1" si="275"/>
        <v>775.86543814078186</v>
      </c>
      <c r="K639" s="307">
        <f t="shared" ca="1" si="276"/>
        <v>1693.5695978331958</v>
      </c>
      <c r="L639" s="304">
        <f t="shared" ca="1" si="261"/>
        <v>1862.832563814118</v>
      </c>
      <c r="M639" s="306">
        <f t="shared" ca="1" si="277"/>
        <v>-1.3811447385733586</v>
      </c>
      <c r="N639" s="304">
        <f t="shared" ca="1" si="278"/>
        <v>-79.133764416952886</v>
      </c>
      <c r="P639" s="310">
        <f t="shared" ca="1" si="279"/>
        <v>23</v>
      </c>
      <c r="Q639" s="304">
        <f t="shared" ca="1" si="280"/>
        <v>0</v>
      </c>
      <c r="R639" s="306">
        <f t="shared" ca="1" si="281"/>
        <v>0</v>
      </c>
      <c r="S639" s="307">
        <f t="shared" ca="1" si="282"/>
        <v>4.9929999999999914</v>
      </c>
      <c r="T639" s="304">
        <f t="shared" ca="1" si="262"/>
        <v>48.981329999999922</v>
      </c>
      <c r="U639" s="311">
        <f t="shared" ca="1" si="263"/>
        <v>0</v>
      </c>
      <c r="V639" s="306">
        <f t="shared" ca="1" si="264"/>
        <v>1.0337338510161203</v>
      </c>
      <c r="W639" s="304">
        <f t="shared" ca="1" si="265"/>
        <v>22.909349842713418</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5.1017874509838199</v>
      </c>
      <c r="AH639" s="304">
        <f t="shared" ca="1" si="289"/>
        <v>-4.5281073702515089</v>
      </c>
    </row>
    <row r="640" spans="1:34" x14ac:dyDescent="0.2">
      <c r="A640" s="347">
        <f t="shared" ca="1" si="267"/>
        <v>0.1</v>
      </c>
      <c r="B640" s="304">
        <f t="shared" ca="1" si="268"/>
        <v>27.60000000000008</v>
      </c>
      <c r="D640" s="306">
        <f t="shared" ca="1" si="269"/>
        <v>-0.86497015548212208</v>
      </c>
      <c r="E640" s="307">
        <f t="shared" ca="1" si="270"/>
        <v>-5.3039746336375</v>
      </c>
      <c r="F640" s="304">
        <f t="shared" ca="1" si="271"/>
        <v>5.3740413362891823</v>
      </c>
      <c r="G640" s="306">
        <f t="shared" ca="1" si="272"/>
        <v>15.49397922625444</v>
      </c>
      <c r="H640" s="307">
        <f t="shared" ca="1" si="273"/>
        <v>-81.6962281230808</v>
      </c>
      <c r="I640" s="304">
        <f t="shared" ca="1" si="274"/>
        <v>83.152492937987518</v>
      </c>
      <c r="J640" s="306">
        <f t="shared" ca="1" si="275"/>
        <v>777.41916091418477</v>
      </c>
      <c r="K640" s="307">
        <f t="shared" ca="1" si="276"/>
        <v>1685.4264948940558</v>
      </c>
      <c r="L640" s="304">
        <f t="shared" ca="1" si="261"/>
        <v>1856.0827086763613</v>
      </c>
      <c r="M640" s="306">
        <f t="shared" ca="1" si="277"/>
        <v>-1.3833687858569992</v>
      </c>
      <c r="N640" s="304">
        <f t="shared" ca="1" si="278"/>
        <v>-79.261192939743026</v>
      </c>
      <c r="P640" s="310">
        <f t="shared" ca="1" si="279"/>
        <v>23</v>
      </c>
      <c r="Q640" s="304">
        <f t="shared" ca="1" si="280"/>
        <v>0</v>
      </c>
      <c r="R640" s="306">
        <f t="shared" ca="1" si="281"/>
        <v>0</v>
      </c>
      <c r="S640" s="307">
        <f t="shared" ca="1" si="282"/>
        <v>4.9929999999999914</v>
      </c>
      <c r="T640" s="304">
        <f t="shared" ca="1" si="262"/>
        <v>48.981329999999922</v>
      </c>
      <c r="U640" s="311">
        <f t="shared" ca="1" si="263"/>
        <v>0</v>
      </c>
      <c r="V640" s="306">
        <f t="shared" ca="1" si="264"/>
        <v>1.0345820290432057</v>
      </c>
      <c r="W640" s="304">
        <f t="shared" ca="1" si="265"/>
        <v>23.20907849589322</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5.0458128867353693</v>
      </c>
      <c r="AH640" s="304">
        <f t="shared" ca="1" si="289"/>
        <v>-4.5882935795540671</v>
      </c>
    </row>
    <row r="641" spans="1:34" x14ac:dyDescent="0.2">
      <c r="A641" s="347">
        <f t="shared" ca="1" si="267"/>
        <v>0.1</v>
      </c>
      <c r="B641" s="304">
        <f t="shared" ca="1" si="268"/>
        <v>27.700000000000081</v>
      </c>
      <c r="D641" s="306">
        <f t="shared" ca="1" si="269"/>
        <v>-0.86613188499974259</v>
      </c>
      <c r="E641" s="307">
        <f t="shared" ca="1" si="270"/>
        <v>-5.2430835850282342</v>
      </c>
      <c r="F641" s="304">
        <f t="shared" ca="1" si="271"/>
        <v>5.3141424446288346</v>
      </c>
      <c r="G641" s="306">
        <f t="shared" ca="1" si="272"/>
        <v>15.407366037754466</v>
      </c>
      <c r="H641" s="307">
        <f t="shared" ca="1" si="273"/>
        <v>-82.220536481583622</v>
      </c>
      <c r="I641" s="304">
        <f t="shared" ca="1" si="274"/>
        <v>83.651679884750507</v>
      </c>
      <c r="J641" s="306">
        <f t="shared" ca="1" si="275"/>
        <v>778.96422817738517</v>
      </c>
      <c r="K641" s="307">
        <f t="shared" ca="1" si="276"/>
        <v>1677.2306566638226</v>
      </c>
      <c r="L641" s="304">
        <f t="shared" ca="1" si="261"/>
        <v>1849.2939042869705</v>
      </c>
      <c r="M641" s="306">
        <f t="shared" ca="1" si="277"/>
        <v>-1.3855539415270663</v>
      </c>
      <c r="N641" s="304">
        <f t="shared" ca="1" si="278"/>
        <v>-79.386393137216956</v>
      </c>
      <c r="P641" s="310">
        <f t="shared" ca="1" si="279"/>
        <v>23</v>
      </c>
      <c r="Q641" s="304">
        <f t="shared" ca="1" si="280"/>
        <v>0</v>
      </c>
      <c r="R641" s="306">
        <f t="shared" ca="1" si="281"/>
        <v>0</v>
      </c>
      <c r="S641" s="307">
        <f t="shared" ca="1" si="282"/>
        <v>4.9929999999999914</v>
      </c>
      <c r="T641" s="304">
        <f t="shared" ca="1" si="262"/>
        <v>48.981329999999922</v>
      </c>
      <c r="U641" s="311">
        <f t="shared" ca="1" si="263"/>
        <v>0</v>
      </c>
      <c r="V641" s="306">
        <f t="shared" ca="1" si="264"/>
        <v>1.0354363433728955</v>
      </c>
      <c r="W641" s="304">
        <f t="shared" ca="1" si="265"/>
        <v>23.507971586208711</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4.9898723241755212</v>
      </c>
      <c r="AH641" s="304">
        <f t="shared" ca="1" si="289"/>
        <v>-4.6483233518712721</v>
      </c>
    </row>
    <row r="642" spans="1:34" x14ac:dyDescent="0.2">
      <c r="A642" s="347">
        <f t="shared" ca="1" si="267"/>
        <v>0.1</v>
      </c>
      <c r="B642" s="304">
        <f t="shared" ca="1" si="268"/>
        <v>27.800000000000082</v>
      </c>
      <c r="D642" s="306">
        <f t="shared" ca="1" si="269"/>
        <v>-0.86717614930165943</v>
      </c>
      <c r="E642" s="307">
        <f t="shared" ca="1" si="270"/>
        <v>-5.1823635795435541</v>
      </c>
      <c r="F642" s="304">
        <f t="shared" ca="1" si="271"/>
        <v>5.2544159280073304</v>
      </c>
      <c r="G642" s="306">
        <f t="shared" ca="1" si="272"/>
        <v>15.3206484228243</v>
      </c>
      <c r="H642" s="307">
        <f t="shared" ca="1" si="273"/>
        <v>-82.738772839537972</v>
      </c>
      <c r="I642" s="304">
        <f t="shared" ca="1" si="274"/>
        <v>84.145271994856927</v>
      </c>
      <c r="J642" s="306">
        <f t="shared" ca="1" si="275"/>
        <v>780.50062890041409</v>
      </c>
      <c r="K642" s="307">
        <f t="shared" ca="1" si="276"/>
        <v>1668.9826911977666</v>
      </c>
      <c r="L642" s="304">
        <f t="shared" ca="1" si="261"/>
        <v>1842.4669482060408</v>
      </c>
      <c r="M642" s="306">
        <f t="shared" ca="1" si="277"/>
        <v>-1.3877012446516348</v>
      </c>
      <c r="N642" s="304">
        <f t="shared" ca="1" si="278"/>
        <v>-79.509424543589972</v>
      </c>
      <c r="P642" s="310">
        <f t="shared" ca="1" si="279"/>
        <v>23</v>
      </c>
      <c r="Q642" s="304">
        <f t="shared" ca="1" si="280"/>
        <v>0</v>
      </c>
      <c r="R642" s="306">
        <f t="shared" ca="1" si="281"/>
        <v>0</v>
      </c>
      <c r="S642" s="307">
        <f t="shared" ca="1" si="282"/>
        <v>4.9929999999999914</v>
      </c>
      <c r="T642" s="304">
        <f t="shared" ca="1" si="262"/>
        <v>48.981329999999922</v>
      </c>
      <c r="U642" s="311">
        <f t="shared" ca="1" si="263"/>
        <v>0</v>
      </c>
      <c r="V642" s="306">
        <f t="shared" ca="1" si="264"/>
        <v>1.0362967437508945</v>
      </c>
      <c r="W642" s="304">
        <f t="shared" ca="1" si="265"/>
        <v>23.805975903969514</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4.9339811701310587</v>
      </c>
      <c r="AH642" s="304">
        <f t="shared" ca="1" si="289"/>
        <v>-4.7081857773300122</v>
      </c>
    </row>
    <row r="643" spans="1:34" x14ac:dyDescent="0.2">
      <c r="A643" s="347">
        <f t="shared" ca="1" si="267"/>
        <v>0.1</v>
      </c>
      <c r="B643" s="304">
        <f t="shared" ca="1" si="268"/>
        <v>27.900000000000084</v>
      </c>
      <c r="D643" s="306">
        <f t="shared" ca="1" si="269"/>
        <v>-0.86810418831515002</v>
      </c>
      <c r="E643" s="307">
        <f t="shared" ca="1" si="270"/>
        <v>-5.1218253708469428</v>
      </c>
      <c r="F643" s="304">
        <f t="shared" ca="1" si="271"/>
        <v>5.1948724730470266</v>
      </c>
      <c r="G643" s="306">
        <f t="shared" ca="1" si="272"/>
        <v>15.233838003992785</v>
      </c>
      <c r="H643" s="307">
        <f t="shared" ca="1" si="273"/>
        <v>-83.25095537662267</v>
      </c>
      <c r="I643" s="304">
        <f t="shared" ca="1" si="274"/>
        <v>84.633275911146882</v>
      </c>
      <c r="J643" s="306">
        <f t="shared" ca="1" si="275"/>
        <v>782.02835322175497</v>
      </c>
      <c r="K643" s="307">
        <f t="shared" ca="1" si="276"/>
        <v>1660.6832047869586</v>
      </c>
      <c r="L643" s="304">
        <f t="shared" ca="1" si="261"/>
        <v>1835.6026399807267</v>
      </c>
      <c r="M643" s="306">
        <f t="shared" ca="1" si="277"/>
        <v>-1.3898116972696521</v>
      </c>
      <c r="N643" s="304">
        <f t="shared" ca="1" si="278"/>
        <v>-79.630344571464704</v>
      </c>
      <c r="P643" s="310">
        <f t="shared" ca="1" si="279"/>
        <v>23</v>
      </c>
      <c r="Q643" s="304">
        <f t="shared" ca="1" si="280"/>
        <v>0</v>
      </c>
      <c r="R643" s="306">
        <f t="shared" ca="1" si="281"/>
        <v>0</v>
      </c>
      <c r="S643" s="307">
        <f t="shared" ca="1" si="282"/>
        <v>4.9929999999999914</v>
      </c>
      <c r="T643" s="304">
        <f t="shared" ca="1" si="262"/>
        <v>48.981329999999922</v>
      </c>
      <c r="U643" s="311">
        <f t="shared" ca="1" si="263"/>
        <v>0</v>
      </c>
      <c r="V643" s="306">
        <f t="shared" ca="1" si="264"/>
        <v>1.0371631800224623</v>
      </c>
      <c r="W643" s="304">
        <f t="shared" ca="1" si="265"/>
        <v>24.103039505200996</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4.8781543762056963</v>
      </c>
      <c r="AH643" s="304">
        <f t="shared" ca="1" si="289"/>
        <v>-4.7678701990726129</v>
      </c>
    </row>
    <row r="644" spans="1:34" x14ac:dyDescent="0.2">
      <c r="A644" s="347">
        <f t="shared" ca="1" si="267"/>
        <v>0.1</v>
      </c>
      <c r="B644" s="304">
        <f t="shared" ca="1" si="268"/>
        <v>28.000000000000085</v>
      </c>
      <c r="D644" s="306">
        <f t="shared" ca="1" si="269"/>
        <v>-0.86891726799351032</v>
      </c>
      <c r="E644" s="307">
        <f t="shared" ca="1" si="270"/>
        <v>-5.0614794574588</v>
      </c>
      <c r="F644" s="304">
        <f t="shared" ca="1" si="271"/>
        <v>5.1355225164431646</v>
      </c>
      <c r="G644" s="306">
        <f t="shared" ca="1" si="272"/>
        <v>15.146946277193434</v>
      </c>
      <c r="H644" s="307">
        <f t="shared" ca="1" si="273"/>
        <v>-83.75710332236855</v>
      </c>
      <c r="I644" s="304">
        <f t="shared" ca="1" si="274"/>
        <v>85.115699717960993</v>
      </c>
      <c r="J644" s="306">
        <f t="shared" ca="1" si="275"/>
        <v>783.54739243581423</v>
      </c>
      <c r="K644" s="307">
        <f t="shared" ca="1" si="276"/>
        <v>1652.332801852009</v>
      </c>
      <c r="L644" s="304">
        <f t="shared" ref="L644:L707" ca="1" si="290">SQRT(pos_x^2+pos_z^2)</f>
        <v>1828.7017811193475</v>
      </c>
      <c r="M644" s="306">
        <f t="shared" ca="1" si="277"/>
        <v>-1.3918862659958267</v>
      </c>
      <c r="N644" s="304">
        <f t="shared" ca="1" si="278"/>
        <v>-79.749208603784339</v>
      </c>
      <c r="P644" s="310">
        <f t="shared" ca="1" si="279"/>
        <v>23</v>
      </c>
      <c r="Q644" s="304">
        <f t="shared" ca="1" si="280"/>
        <v>0</v>
      </c>
      <c r="R644" s="306">
        <f t="shared" ca="1" si="281"/>
        <v>0</v>
      </c>
      <c r="S644" s="307">
        <f t="shared" ca="1" si="282"/>
        <v>4.9929999999999914</v>
      </c>
      <c r="T644" s="304">
        <f t="shared" ref="T644:T707" ca="1" si="291">m*g</f>
        <v>48.981329999999922</v>
      </c>
      <c r="U644" s="311">
        <f t="shared" ref="U644:U707" ca="1" si="292">IF(pos_xz&lt;L_rampe,Poids*COS(Beta),0)</f>
        <v>0</v>
      </c>
      <c r="V644" s="306">
        <f t="shared" ref="V644:V707" ca="1" si="293">Rho_moyen*(20000-Alt_rampe-pos_z)/(20000+Alt_rampe+pos_z)</f>
        <v>1.0380356021411625</v>
      </c>
      <c r="W644" s="304">
        <f t="shared" ref="W644:W707" ca="1" si="294">1/2*Rho*Sref*Cx*vit_xz^2</f>
        <v>24.399111713067114</v>
      </c>
      <c r="Y644" s="314" t="str">
        <f t="shared" ca="1" si="283"/>
        <v/>
      </c>
      <c r="Z644" s="315" t="str">
        <f t="shared" ca="1" si="284"/>
        <v/>
      </c>
      <c r="AA644" s="316" t="str">
        <f t="shared" ca="1" si="285"/>
        <v/>
      </c>
      <c r="AC644" s="310">
        <f t="shared" ca="1" si="286"/>
        <v>28.000000000000085</v>
      </c>
      <c r="AD644" s="323">
        <f t="shared" ca="1" si="287"/>
        <v>783.54739243581423</v>
      </c>
      <c r="AE644" s="324" t="e">
        <f t="shared" ref="AE644:AE707" ca="1" si="295">IF(t&lt;T_para, pos_z, NA())</f>
        <v>#N/A</v>
      </c>
      <c r="AG644" s="306">
        <f t="shared" ca="1" si="288"/>
        <v>4.8224064489905336</v>
      </c>
      <c r="AH644" s="304">
        <f t="shared" ca="1" si="289"/>
        <v>-4.8273662137394426</v>
      </c>
    </row>
    <row r="645" spans="1:34" x14ac:dyDescent="0.2">
      <c r="A645" s="347">
        <f t="shared" ref="A645:A708" ca="1" si="296">IF(B644+0.01&lt;=T_ini+ROUNDUP(Temps_fin_propu,0), 0.01, IF(K644&gt;0, 0.1, 0.0001))</f>
        <v>0.1</v>
      </c>
      <c r="B645" s="304">
        <f t="shared" ref="B645:B708" ca="1" si="297">B644+pas</f>
        <v>28.100000000000087</v>
      </c>
      <c r="D645" s="306">
        <f t="shared" ref="D645:D708" ca="1" si="298">IF(AND(L644&lt;L_rampe,Poussee&lt;Poids*SIN(M644)),0,(-W644+Poussee)/m*COS(M644)-U644/m*SIN(M644))</f>
        <v>-0.86961667889748573</v>
      </c>
      <c r="E645" s="307">
        <f t="shared" ref="E645:E708" ca="1" si="299">IF(AND(L644&lt;L_rampe,Poussee&lt;Poids*SIN(M644)),0,(-W644+Poussee)/m*SIN(M644)+U644/m*COS(M644)-Poids/m)</f>
        <v>-5.0013360823797974</v>
      </c>
      <c r="F645" s="304">
        <f t="shared" ref="F645:F708" ca="1" si="300">SQRT(acc_x^2+acc_z^2)</f>
        <v>5.0763762446385705</v>
      </c>
      <c r="G645" s="306">
        <f t="shared" ref="G645:G708" ca="1" si="301">G644+acc_x*pas</f>
        <v>15.059984609303685</v>
      </c>
      <c r="H645" s="307">
        <f t="shared" ref="H645:H708" ca="1" si="302">H644+acc_z*pas</f>
        <v>-84.257236930606524</v>
      </c>
      <c r="I645" s="304">
        <f t="shared" ref="I645:I708" ca="1" si="303">SQRT(vit_x^2+vit_z^2)</f>
        <v>85.592552898092876</v>
      </c>
      <c r="J645" s="306">
        <f t="shared" ref="J645:J708" ca="1" si="304">J644+0.5*(vit_x+G644)*pas*(K644&gt;=0)</f>
        <v>785.05773898013911</v>
      </c>
      <c r="K645" s="307">
        <f t="shared" ref="K645:K708" ca="1" si="305">K644+0.5*(vit_z+H644)*pas</f>
        <v>1643.9320848393602</v>
      </c>
      <c r="L645" s="304">
        <f t="shared" ca="1" si="290"/>
        <v>1821.7651750697435</v>
      </c>
      <c r="M645" s="306">
        <f t="shared" ref="M645:M708" ca="1" si="306">IF(AND(L644&gt;L_rampe,G645&gt;0),ATAN2(G645,H645),$M$4)</f>
        <v>-1.3939258835443911</v>
      </c>
      <c r="N645" s="304">
        <f t="shared" ref="N645:N708" ca="1" si="307">DEGREES(Beta)</f>
        <v>-79.866070081137892</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4.9929999999999914</v>
      </c>
      <c r="T645" s="304">
        <f t="shared" ca="1" si="291"/>
        <v>48.981329999999922</v>
      </c>
      <c r="U645" s="311">
        <f t="shared" ca="1" si="292"/>
        <v>0</v>
      </c>
      <c r="V645" s="306">
        <f t="shared" ca="1" si="293"/>
        <v>1.0389139601774291</v>
      </c>
      <c r="W645" s="304">
        <f t="shared" ca="1" si="294"/>
        <v>24.694143118331336</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4.7667514598267164</v>
      </c>
      <c r="AH645" s="304">
        <f t="shared" ref="AH645:AH708" ca="1" si="318">IF(AND(L644&lt;L_rampe,Poussee&lt;Poids*SIN(M644)), g*SIN(M644), (-W644+Poussee)/m)</f>
        <v>-4.8866636717538867</v>
      </c>
    </row>
    <row r="646" spans="1:34" x14ac:dyDescent="0.2">
      <c r="A646" s="347">
        <f t="shared" ca="1" si="296"/>
        <v>0.1</v>
      </c>
      <c r="B646" s="304">
        <f t="shared" ca="1" si="297"/>
        <v>28.200000000000088</v>
      </c>
      <c r="D646" s="306">
        <f t="shared" ca="1" si="298"/>
        <v>-0.87020373480350777</v>
      </c>
      <c r="E646" s="307">
        <f t="shared" ca="1" si="299"/>
        <v>-4.9414052329149163</v>
      </c>
      <c r="F646" s="304">
        <f t="shared" ca="1" si="300"/>
        <v>5.0174435936983777</v>
      </c>
      <c r="G646" s="306">
        <f t="shared" ca="1" si="301"/>
        <v>14.972964235823333</v>
      </c>
      <c r="H646" s="307">
        <f t="shared" ca="1" si="302"/>
        <v>-84.751377453898016</v>
      </c>
      <c r="I646" s="304">
        <f t="shared" ca="1" si="303"/>
        <v>86.0638462906483</v>
      </c>
      <c r="J646" s="306">
        <f t="shared" ca="1" si="304"/>
        <v>786.55938642239551</v>
      </c>
      <c r="K646" s="307">
        <f t="shared" ca="1" si="305"/>
        <v>1635.4816541201349</v>
      </c>
      <c r="L646" s="304">
        <f t="shared" ca="1" si="290"/>
        <v>1814.7936272019217</v>
      </c>
      <c r="M646" s="306">
        <f t="shared" ca="1" si="306"/>
        <v>-1.3959314501763977</v>
      </c>
      <c r="N646" s="304">
        <f t="shared" ca="1" si="307"/>
        <v>-79.980980584684147</v>
      </c>
      <c r="P646" s="310">
        <f t="shared" ca="1" si="308"/>
        <v>23</v>
      </c>
      <c r="Q646" s="304">
        <f t="shared" ca="1" si="309"/>
        <v>0</v>
      </c>
      <c r="R646" s="306">
        <f t="shared" ca="1" si="310"/>
        <v>0</v>
      </c>
      <c r="S646" s="307">
        <f t="shared" ca="1" si="311"/>
        <v>4.9929999999999914</v>
      </c>
      <c r="T646" s="304">
        <f t="shared" ca="1" si="291"/>
        <v>48.981329999999922</v>
      </c>
      <c r="U646" s="311">
        <f t="shared" ca="1" si="292"/>
        <v>0</v>
      </c>
      <c r="V646" s="306">
        <f t="shared" ca="1" si="293"/>
        <v>1.039798204326952</v>
      </c>
      <c r="W646" s="304">
        <f t="shared" ca="1" si="294"/>
        <v>24.988085578880948</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4.7112030541588901</v>
      </c>
      <c r="AH646" s="304">
        <f t="shared" ca="1" si="318"/>
        <v>-4.9457526774146565</v>
      </c>
    </row>
    <row r="647" spans="1:34" x14ac:dyDescent="0.2">
      <c r="A647" s="347">
        <f t="shared" ca="1" si="296"/>
        <v>0.1</v>
      </c>
      <c r="B647" s="304">
        <f t="shared" ca="1" si="297"/>
        <v>28.30000000000009</v>
      </c>
      <c r="D647" s="306">
        <f t="shared" ca="1" si="298"/>
        <v>-0.8706797713386687</v>
      </c>
      <c r="E647" s="307">
        <f t="shared" ca="1" si="299"/>
        <v>-4.8816966406926383</v>
      </c>
      <c r="F647" s="304">
        <f t="shared" ca="1" si="300"/>
        <v>4.9587342493793862</v>
      </c>
      <c r="G647" s="306">
        <f t="shared" ca="1" si="301"/>
        <v>14.885896258689467</v>
      </c>
      <c r="H647" s="307">
        <f t="shared" ca="1" si="302"/>
        <v>-85.239547117967277</v>
      </c>
      <c r="I647" s="304">
        <f t="shared" ca="1" si="303"/>
        <v>86.529592049775829</v>
      </c>
      <c r="J647" s="306">
        <f t="shared" ca="1" si="304"/>
        <v>788.05232944712111</v>
      </c>
      <c r="K647" s="307">
        <f t="shared" ca="1" si="305"/>
        <v>1626.9821078915415</v>
      </c>
      <c r="L647" s="304">
        <f t="shared" ca="1" si="290"/>
        <v>1807.7879447950297</v>
      </c>
      <c r="M647" s="306">
        <f t="shared" ca="1" si="306"/>
        <v>-1.3979038350748947</v>
      </c>
      <c r="N647" s="304">
        <f t="shared" ca="1" si="307"/>
        <v>-80.093989914943364</v>
      </c>
      <c r="P647" s="310">
        <f t="shared" ca="1" si="308"/>
        <v>23</v>
      </c>
      <c r="Q647" s="304">
        <f t="shared" ca="1" si="309"/>
        <v>0</v>
      </c>
      <c r="R647" s="306">
        <f t="shared" ca="1" si="310"/>
        <v>0</v>
      </c>
      <c r="S647" s="307">
        <f t="shared" ca="1" si="311"/>
        <v>4.9929999999999914</v>
      </c>
      <c r="T647" s="304">
        <f t="shared" ca="1" si="291"/>
        <v>48.981329999999922</v>
      </c>
      <c r="U647" s="311">
        <f t="shared" ca="1" si="292"/>
        <v>0</v>
      </c>
      <c r="V647" s="306">
        <f t="shared" ca="1" si="293"/>
        <v>1.0406882849188759</v>
      </c>
      <c r="W647" s="304">
        <f t="shared" ca="1" si="294"/>
        <v>25.280892218340409</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4.6557744605146523</v>
      </c>
      <c r="AH647" s="304">
        <f t="shared" ca="1" si="318"/>
        <v>-5.0046235888005191</v>
      </c>
    </row>
    <row r="648" spans="1:34" x14ac:dyDescent="0.2">
      <c r="A648" s="347">
        <f t="shared" ca="1" si="296"/>
        <v>0.1</v>
      </c>
      <c r="B648" s="304">
        <f t="shared" ca="1" si="297"/>
        <v>28.400000000000091</v>
      </c>
      <c r="D648" s="306">
        <f t="shared" ca="1" si="298"/>
        <v>-0.87104614464241947</v>
      </c>
      <c r="E648" s="307">
        <f t="shared" ca="1" si="299"/>
        <v>-4.8222197818737271</v>
      </c>
      <c r="F648" s="304">
        <f t="shared" ca="1" si="300"/>
        <v>4.900257647388627</v>
      </c>
      <c r="G648" s="306">
        <f t="shared" ca="1" si="301"/>
        <v>14.798791644225226</v>
      </c>
      <c r="H648" s="307">
        <f t="shared" ca="1" si="302"/>
        <v>-85.721769096154645</v>
      </c>
      <c r="I648" s="304">
        <f t="shared" ca="1" si="303"/>
        <v>86.989803604236528</v>
      </c>
      <c r="J648" s="306">
        <f t="shared" ca="1" si="304"/>
        <v>789.5365638422669</v>
      </c>
      <c r="K648" s="307">
        <f t="shared" ca="1" si="305"/>
        <v>1618.4340420808355</v>
      </c>
      <c r="L648" s="304">
        <f t="shared" ca="1" si="290"/>
        <v>1800.7489370286924</v>
      </c>
      <c r="M648" s="306">
        <f t="shared" ca="1" si="306"/>
        <v>-1.3998438776520681</v>
      </c>
      <c r="N648" s="304">
        <f t="shared" ca="1" si="307"/>
        <v>-80.20514616669108</v>
      </c>
      <c r="P648" s="310">
        <f t="shared" ca="1" si="308"/>
        <v>23</v>
      </c>
      <c r="Q648" s="304">
        <f t="shared" ca="1" si="309"/>
        <v>0</v>
      </c>
      <c r="R648" s="306">
        <f t="shared" ca="1" si="310"/>
        <v>0</v>
      </c>
      <c r="S648" s="307">
        <f t="shared" ca="1" si="311"/>
        <v>4.9929999999999914</v>
      </c>
      <c r="T648" s="304">
        <f t="shared" ca="1" si="291"/>
        <v>48.981329999999922</v>
      </c>
      <c r="U648" s="311">
        <f t="shared" ca="1" si="292"/>
        <v>0</v>
      </c>
      <c r="V648" s="306">
        <f t="shared" ca="1" si="293"/>
        <v>1.0415841524238176</v>
      </c>
      <c r="W648" s="304">
        <f t="shared" ca="1" si="294"/>
        <v>25.572517423800324</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4.6004784991422163</v>
      </c>
      <c r="AH648" s="304">
        <f t="shared" ca="1" si="318"/>
        <v>-5.0632670174925796</v>
      </c>
    </row>
    <row r="649" spans="1:34" x14ac:dyDescent="0.2">
      <c r="A649" s="347">
        <f t="shared" ca="1" si="296"/>
        <v>0.1</v>
      </c>
      <c r="B649" s="304">
        <f t="shared" ca="1" si="297"/>
        <v>28.500000000000092</v>
      </c>
      <c r="D649" s="306">
        <f t="shared" ca="1" si="298"/>
        <v>-0.87130423005495461</v>
      </c>
      <c r="E649" s="307">
        <f t="shared" ca="1" si="299"/>
        <v>-4.7629838775438822</v>
      </c>
      <c r="F649" s="304">
        <f t="shared" ca="1" si="300"/>
        <v>4.8420229738255696</v>
      </c>
      <c r="G649" s="306">
        <f t="shared" ca="1" si="301"/>
        <v>14.71166122121973</v>
      </c>
      <c r="H649" s="307">
        <f t="shared" ca="1" si="302"/>
        <v>-86.198067483909028</v>
      </c>
      <c r="I649" s="304">
        <f t="shared" ca="1" si="303"/>
        <v>87.444495617783033</v>
      </c>
      <c r="J649" s="306">
        <f t="shared" ca="1" si="304"/>
        <v>791.01208648553916</v>
      </c>
      <c r="K649" s="307">
        <f t="shared" ca="1" si="305"/>
        <v>1609.8380502518323</v>
      </c>
      <c r="L649" s="304">
        <f t="shared" ca="1" si="290"/>
        <v>1793.6774149787432</v>
      </c>
      <c r="M649" s="306">
        <f t="shared" ca="1" si="306"/>
        <v>-1.4017523887921721</v>
      </c>
      <c r="N649" s="304">
        <f t="shared" ca="1" si="307"/>
        <v>-80.314495800172736</v>
      </c>
      <c r="P649" s="310">
        <f t="shared" ca="1" si="308"/>
        <v>23</v>
      </c>
      <c r="Q649" s="304">
        <f t="shared" ca="1" si="309"/>
        <v>0</v>
      </c>
      <c r="R649" s="306">
        <f t="shared" ca="1" si="310"/>
        <v>0</v>
      </c>
      <c r="S649" s="307">
        <f t="shared" ca="1" si="311"/>
        <v>4.9929999999999914</v>
      </c>
      <c r="T649" s="304">
        <f t="shared" ca="1" si="291"/>
        <v>48.981329999999922</v>
      </c>
      <c r="U649" s="311">
        <f t="shared" ca="1" si="292"/>
        <v>0</v>
      </c>
      <c r="V649" s="306">
        <f t="shared" ca="1" si="293"/>
        <v>1.0424857574617026</v>
      </c>
      <c r="W649" s="304">
        <f t="shared" ca="1" si="294"/>
        <v>25.862916842688055</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4.5453275903355674</v>
      </c>
      <c r="AH649" s="304">
        <f t="shared" ca="1" si="318"/>
        <v>-5.1216738281194409</v>
      </c>
    </row>
    <row r="650" spans="1:34" x14ac:dyDescent="0.2">
      <c r="A650" s="347">
        <f t="shared" ca="1" si="296"/>
        <v>0.1</v>
      </c>
      <c r="B650" s="304">
        <f t="shared" ca="1" si="297"/>
        <v>28.600000000000094</v>
      </c>
      <c r="D650" s="306">
        <f t="shared" ca="1" si="298"/>
        <v>-0.87145542083226579</v>
      </c>
      <c r="E650" s="307">
        <f t="shared" ca="1" si="299"/>
        <v>-4.7039978942847069</v>
      </c>
      <c r="F650" s="304">
        <f t="shared" ca="1" si="300"/>
        <v>4.7840391658025645</v>
      </c>
      <c r="G650" s="306">
        <f t="shared" ca="1" si="301"/>
        <v>14.624515679136504</v>
      </c>
      <c r="H650" s="307">
        <f t="shared" ca="1" si="302"/>
        <v>-86.668467273337498</v>
      </c>
      <c r="I650" s="304">
        <f t="shared" ca="1" si="303"/>
        <v>87.893683950320806</v>
      </c>
      <c r="J650" s="306">
        <f t="shared" ca="1" si="304"/>
        <v>792.47889533055695</v>
      </c>
      <c r="K650" s="307">
        <f t="shared" ca="1" si="305"/>
        <v>1601.1947235139701</v>
      </c>
      <c r="L650" s="304">
        <f t="shared" ca="1" si="290"/>
        <v>1786.5741916173868</v>
      </c>
      <c r="M650" s="306">
        <f t="shared" ca="1" si="306"/>
        <v>-1.403630152033833</v>
      </c>
      <c r="N650" s="304">
        <f t="shared" ca="1" si="307"/>
        <v>-80.42208370884471</v>
      </c>
      <c r="P650" s="310">
        <f t="shared" ca="1" si="308"/>
        <v>23</v>
      </c>
      <c r="Q650" s="304">
        <f t="shared" ca="1" si="309"/>
        <v>0</v>
      </c>
      <c r="R650" s="306">
        <f t="shared" ca="1" si="310"/>
        <v>0</v>
      </c>
      <c r="S650" s="307">
        <f t="shared" ca="1" si="311"/>
        <v>4.9929999999999914</v>
      </c>
      <c r="T650" s="304">
        <f t="shared" ca="1" si="291"/>
        <v>48.981329999999922</v>
      </c>
      <c r="U650" s="311">
        <f t="shared" ca="1" si="292"/>
        <v>0</v>
      </c>
      <c r="V650" s="306">
        <f t="shared" ca="1" si="293"/>
        <v>1.0433930508094109</v>
      </c>
      <c r="W650" s="304">
        <f t="shared" ca="1" si="294"/>
        <v>26.152047378806657</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4.4903337624739823</v>
      </c>
      <c r="AH650" s="304">
        <f t="shared" ca="1" si="318"/>
        <v>-5.1798351377304428</v>
      </c>
    </row>
    <row r="651" spans="1:34" x14ac:dyDescent="0.2">
      <c r="A651" s="347">
        <f t="shared" ca="1" si="296"/>
        <v>0.1</v>
      </c>
      <c r="B651" s="304">
        <f t="shared" ca="1" si="297"/>
        <v>28.700000000000095</v>
      </c>
      <c r="D651" s="306">
        <f t="shared" ca="1" si="298"/>
        <v>-0.87150112688784231</v>
      </c>
      <c r="E651" s="307">
        <f t="shared" ca="1" si="299"/>
        <v>-4.6452705449172536</v>
      </c>
      <c r="F651" s="304">
        <f t="shared" ca="1" si="300"/>
        <v>4.7263149122379282</v>
      </c>
      <c r="G651" s="306">
        <f t="shared" ca="1" si="301"/>
        <v>14.53736556644772</v>
      </c>
      <c r="H651" s="307">
        <f t="shared" ca="1" si="302"/>
        <v>-87.132994327829223</v>
      </c>
      <c r="I651" s="304">
        <f t="shared" ca="1" si="303"/>
        <v>88.337385619827231</v>
      </c>
      <c r="J651" s="306">
        <f t="shared" ca="1" si="304"/>
        <v>793.93698939283615</v>
      </c>
      <c r="K651" s="307">
        <f t="shared" ca="1" si="305"/>
        <v>1592.5046504339118</v>
      </c>
      <c r="L651" s="304">
        <f t="shared" ca="1" si="290"/>
        <v>1779.440081817816</v>
      </c>
      <c r="M651" s="306">
        <f t="shared" ca="1" si="306"/>
        <v>-1.4054779246950884</v>
      </c>
      <c r="N651" s="304">
        <f t="shared" ca="1" si="307"/>
        <v>-80.527953283834307</v>
      </c>
      <c r="P651" s="310">
        <f t="shared" ca="1" si="308"/>
        <v>23</v>
      </c>
      <c r="Q651" s="304">
        <f t="shared" ca="1" si="309"/>
        <v>0</v>
      </c>
      <c r="R651" s="306">
        <f t="shared" ca="1" si="310"/>
        <v>0</v>
      </c>
      <c r="S651" s="307">
        <f t="shared" ca="1" si="311"/>
        <v>4.9929999999999914</v>
      </c>
      <c r="T651" s="304">
        <f t="shared" ca="1" si="291"/>
        <v>48.981329999999922</v>
      </c>
      <c r="U651" s="311">
        <f t="shared" ca="1" si="292"/>
        <v>0</v>
      </c>
      <c r="V651" s="306">
        <f t="shared" ca="1" si="293"/>
        <v>1.0443059834082435</v>
      </c>
      <c r="W651" s="304">
        <f t="shared" ca="1" si="294"/>
        <v>26.439867187569277</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4.4355086598003535</v>
      </c>
      <c r="AH651" s="304">
        <f t="shared" ca="1" si="318"/>
        <v>-5.2377423150023432</v>
      </c>
    </row>
    <row r="652" spans="1:34" x14ac:dyDescent="0.2">
      <c r="A652" s="347">
        <f t="shared" ca="1" si="296"/>
        <v>0.1</v>
      </c>
      <c r="B652" s="304">
        <f t="shared" ca="1" si="297"/>
        <v>28.800000000000097</v>
      </c>
      <c r="D652" s="306">
        <f t="shared" ca="1" si="298"/>
        <v>-0.87144277356101707</v>
      </c>
      <c r="E652" s="307">
        <f t="shared" ca="1" si="299"/>
        <v>-4.5868102894124219</v>
      </c>
      <c r="F652" s="304">
        <f t="shared" ca="1" si="300"/>
        <v>4.6688586548161197</v>
      </c>
      <c r="G652" s="306">
        <f t="shared" ca="1" si="301"/>
        <v>14.450221289091619</v>
      </c>
      <c r="H652" s="307">
        <f t="shared" ca="1" si="302"/>
        <v>-87.591675356770466</v>
      </c>
      <c r="I652" s="304">
        <f t="shared" ca="1" si="303"/>
        <v>88.775618765005447</v>
      </c>
      <c r="J652" s="306">
        <f t="shared" ca="1" si="304"/>
        <v>795.38636873561313</v>
      </c>
      <c r="K652" s="307">
        <f t="shared" ca="1" si="305"/>
        <v>1583.7684169496818</v>
      </c>
      <c r="L652" s="304">
        <f t="shared" ca="1" si="290"/>
        <v>1772.2759023633214</v>
      </c>
      <c r="M652" s="306">
        <f t="shared" ca="1" si="306"/>
        <v>-1.4072964389443201</v>
      </c>
      <c r="N652" s="304">
        <f t="shared" ca="1" si="307"/>
        <v>-80.632146475299677</v>
      </c>
      <c r="P652" s="310">
        <f t="shared" ca="1" si="308"/>
        <v>23</v>
      </c>
      <c r="Q652" s="304">
        <f t="shared" ca="1" si="309"/>
        <v>0</v>
      </c>
      <c r="R652" s="306">
        <f t="shared" ca="1" si="310"/>
        <v>0</v>
      </c>
      <c r="S652" s="307">
        <f t="shared" ca="1" si="311"/>
        <v>4.9929999999999914</v>
      </c>
      <c r="T652" s="304">
        <f t="shared" ca="1" si="291"/>
        <v>48.981329999999922</v>
      </c>
      <c r="U652" s="311">
        <f t="shared" ca="1" si="292"/>
        <v>0</v>
      </c>
      <c r="V652" s="306">
        <f t="shared" ca="1" si="293"/>
        <v>1.0452245063712053</v>
      </c>
      <c r="W652" s="304">
        <f t="shared" ca="1" si="294"/>
        <v>26.726335670455668</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4.3808635499604982</v>
      </c>
      <c r="AH652" s="304">
        <f t="shared" ca="1" si="318"/>
        <v>-5.2953869792848636</v>
      </c>
    </row>
    <row r="653" spans="1:34" x14ac:dyDescent="0.2">
      <c r="A653" s="347">
        <f t="shared" ca="1" si="296"/>
        <v>0.1</v>
      </c>
      <c r="B653" s="304">
        <f t="shared" ca="1" si="297"/>
        <v>28.900000000000098</v>
      </c>
      <c r="D653" s="306">
        <f t="shared" ca="1" si="298"/>
        <v>-0.87128180041191672</v>
      </c>
      <c r="E653" s="307">
        <f t="shared" ca="1" si="299"/>
        <v>-4.5286253359625448</v>
      </c>
      <c r="F653" s="304">
        <f t="shared" ca="1" si="300"/>
        <v>4.6116785891094905</v>
      </c>
      <c r="G653" s="306">
        <f t="shared" ca="1" si="301"/>
        <v>14.363093109050427</v>
      </c>
      <c r="H653" s="307">
        <f t="shared" ca="1" si="302"/>
        <v>-88.044537890366726</v>
      </c>
      <c r="I653" s="304">
        <f t="shared" ca="1" si="303"/>
        <v>89.20840260865269</v>
      </c>
      <c r="J653" s="306">
        <f t="shared" ca="1" si="304"/>
        <v>796.82703445552022</v>
      </c>
      <c r="K653" s="307">
        <f t="shared" ca="1" si="305"/>
        <v>1574.986606287325</v>
      </c>
      <c r="L653" s="304">
        <f t="shared" ca="1" si="290"/>
        <v>1765.0824719609122</v>
      </c>
      <c r="M653" s="306">
        <f t="shared" ca="1" si="306"/>
        <v>-1.4090864028200385</v>
      </c>
      <c r="N653" s="304">
        <f t="shared" ca="1" si="307"/>
        <v>-80.734703850859233</v>
      </c>
      <c r="P653" s="310">
        <f t="shared" ca="1" si="308"/>
        <v>23</v>
      </c>
      <c r="Q653" s="304">
        <f t="shared" ca="1" si="309"/>
        <v>0</v>
      </c>
      <c r="R653" s="306">
        <f t="shared" ca="1" si="310"/>
        <v>0</v>
      </c>
      <c r="S653" s="307">
        <f t="shared" ca="1" si="311"/>
        <v>4.9929999999999914</v>
      </c>
      <c r="T653" s="304">
        <f t="shared" ca="1" si="291"/>
        <v>48.981329999999922</v>
      </c>
      <c r="U653" s="311">
        <f t="shared" ca="1" si="292"/>
        <v>0</v>
      </c>
      <c r="V653" s="306">
        <f t="shared" ca="1" si="293"/>
        <v>1.0461485709900997</v>
      </c>
      <c r="W653" s="304">
        <f t="shared" ca="1" si="294"/>
        <v>27.011413468718025</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4.3264093313238314</v>
      </c>
      <c r="AH653" s="304">
        <f t="shared" ca="1" si="318"/>
        <v>-5.3527609994904291</v>
      </c>
    </row>
    <row r="654" spans="1:34" x14ac:dyDescent="0.2">
      <c r="A654" s="347">
        <f t="shared" ca="1" si="296"/>
        <v>0.1</v>
      </c>
      <c r="B654" s="304">
        <f t="shared" ca="1" si="297"/>
        <v>29.000000000000099</v>
      </c>
      <c r="D654" s="306">
        <f t="shared" ca="1" si="298"/>
        <v>-0.871019660043022</v>
      </c>
      <c r="E654" s="307">
        <f t="shared" ca="1" si="299"/>
        <v>-4.4707236422084131</v>
      </c>
      <c r="F654" s="304">
        <f t="shared" ca="1" si="300"/>
        <v>4.5547826658560471</v>
      </c>
      <c r="G654" s="306">
        <f t="shared" ca="1" si="301"/>
        <v>14.275991143046124</v>
      </c>
      <c r="H654" s="307">
        <f t="shared" ca="1" si="302"/>
        <v>-88.49161025458757</v>
      </c>
      <c r="I654" s="304">
        <f t="shared" ca="1" si="303"/>
        <v>89.635757421724051</v>
      </c>
      <c r="J654" s="306">
        <f t="shared" ca="1" si="304"/>
        <v>798.25898866812508</v>
      </c>
      <c r="K654" s="307">
        <f t="shared" ca="1" si="305"/>
        <v>1566.1597988800772</v>
      </c>
      <c r="L654" s="304">
        <f t="shared" ca="1" si="290"/>
        <v>1757.8606112594769</v>
      </c>
      <c r="M654" s="306">
        <f t="shared" ca="1" si="306"/>
        <v>-1.4108485012023029</v>
      </c>
      <c r="N654" s="304">
        <f t="shared" ca="1" si="307"/>
        <v>-80.8356646512498</v>
      </c>
      <c r="P654" s="310">
        <f t="shared" ca="1" si="308"/>
        <v>23</v>
      </c>
      <c r="Q654" s="304">
        <f t="shared" ca="1" si="309"/>
        <v>0</v>
      </c>
      <c r="R654" s="306">
        <f t="shared" ca="1" si="310"/>
        <v>0</v>
      </c>
      <c r="S654" s="307">
        <f t="shared" ca="1" si="311"/>
        <v>4.9929999999999914</v>
      </c>
      <c r="T654" s="304">
        <f t="shared" ca="1" si="291"/>
        <v>48.981329999999922</v>
      </c>
      <c r="U654" s="311">
        <f t="shared" ca="1" si="292"/>
        <v>0</v>
      </c>
      <c r="V654" s="306">
        <f t="shared" ca="1" si="293"/>
        <v>1.0470781287424453</v>
      </c>
      <c r="W654" s="304">
        <f t="shared" ca="1" si="294"/>
        <v>27.29506245636335</v>
      </c>
      <c r="Y654" s="314" t="str">
        <f t="shared" ca="1" si="312"/>
        <v/>
      </c>
      <c r="Z654" s="315" t="str">
        <f t="shared" ca="1" si="313"/>
        <v/>
      </c>
      <c r="AA654" s="316" t="str">
        <f t="shared" ca="1" si="314"/>
        <v/>
      </c>
      <c r="AC654" s="310">
        <f t="shared" ca="1" si="315"/>
        <v>29.000000000000099</v>
      </c>
      <c r="AD654" s="323">
        <f t="shared" ca="1" si="316"/>
        <v>798.25898866812508</v>
      </c>
      <c r="AE654" s="324" t="e">
        <f t="shared" ca="1" si="295"/>
        <v>#N/A</v>
      </c>
      <c r="AG654" s="306">
        <f t="shared" ca="1" si="317"/>
        <v>4.2721565401037687</v>
      </c>
      <c r="AH654" s="304">
        <f t="shared" ca="1" si="318"/>
        <v>-5.4098564928335815</v>
      </c>
    </row>
    <row r="655" spans="1:34" x14ac:dyDescent="0.2">
      <c r="A655" s="347">
        <f t="shared" ca="1" si="296"/>
        <v>0.1</v>
      </c>
      <c r="B655" s="304">
        <f t="shared" ca="1" si="297"/>
        <v>29.100000000000101</v>
      </c>
      <c r="D655" s="306">
        <f t="shared" ca="1" si="298"/>
        <v>-0.87065781694728939</v>
      </c>
      <c r="E655" s="307">
        <f t="shared" ca="1" si="299"/>
        <v>-4.4131129166160328</v>
      </c>
      <c r="F655" s="304">
        <f t="shared" ca="1" si="300"/>
        <v>4.4981785923876663</v>
      </c>
      <c r="G655" s="306">
        <f t="shared" ca="1" si="301"/>
        <v>14.188925361351394</v>
      </c>
      <c r="H655" s="307">
        <f t="shared" ca="1" si="302"/>
        <v>-88.932921546249176</v>
      </c>
      <c r="I655" s="304">
        <f t="shared" ca="1" si="303"/>
        <v>90.057704488074265</v>
      </c>
      <c r="J655" s="306">
        <f t="shared" ca="1" si="304"/>
        <v>799.68223449334494</v>
      </c>
      <c r="K655" s="307">
        <f t="shared" ca="1" si="305"/>
        <v>1557.2885722900353</v>
      </c>
      <c r="L655" s="304">
        <f t="shared" ca="1" si="290"/>
        <v>1750.6111428725128</v>
      </c>
      <c r="M655" s="306">
        <f t="shared" ca="1" si="306"/>
        <v>-1.4125833967383892</v>
      </c>
      <c r="N655" s="304">
        <f t="shared" ca="1" si="307"/>
        <v>-80.935066843363643</v>
      </c>
      <c r="P655" s="310">
        <f t="shared" ca="1" si="308"/>
        <v>23</v>
      </c>
      <c r="Q655" s="304">
        <f t="shared" ca="1" si="309"/>
        <v>0</v>
      </c>
      <c r="R655" s="306">
        <f t="shared" ca="1" si="310"/>
        <v>0</v>
      </c>
      <c r="S655" s="307">
        <f t="shared" ca="1" si="311"/>
        <v>4.9929999999999914</v>
      </c>
      <c r="T655" s="304">
        <f t="shared" ca="1" si="291"/>
        <v>48.981329999999922</v>
      </c>
      <c r="U655" s="311">
        <f t="shared" ca="1" si="292"/>
        <v>0</v>
      </c>
      <c r="V655" s="306">
        <f t="shared" ca="1" si="293"/>
        <v>1.0480131312982057</v>
      </c>
      <c r="W655" s="304">
        <f t="shared" ca="1" si="294"/>
        <v>27.577245732439302</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4.2181153572946135</v>
      </c>
      <c r="AH655" s="304">
        <f t="shared" ca="1" si="318"/>
        <v>-5.4666658234254752</v>
      </c>
    </row>
    <row r="656" spans="1:34" x14ac:dyDescent="0.2">
      <c r="A656" s="347">
        <f t="shared" ca="1" si="296"/>
        <v>0.1</v>
      </c>
      <c r="B656" s="304">
        <f t="shared" ca="1" si="297"/>
        <v>29.200000000000102</v>
      </c>
      <c r="D656" s="306">
        <f t="shared" ca="1" si="298"/>
        <v>-0.870197746382812</v>
      </c>
      <c r="E656" s="307">
        <f t="shared" ca="1" si="299"/>
        <v>-4.3558006199974306</v>
      </c>
      <c r="F656" s="304">
        <f t="shared" ca="1" si="300"/>
        <v>4.4418738342032782</v>
      </c>
      <c r="G656" s="306">
        <f t="shared" ca="1" si="301"/>
        <v>14.101905586713114</v>
      </c>
      <c r="H656" s="307">
        <f t="shared" ca="1" si="302"/>
        <v>-89.36850160824892</v>
      </c>
      <c r="I656" s="304">
        <f t="shared" ca="1" si="303"/>
        <v>90.474266069861869</v>
      </c>
      <c r="J656" s="306">
        <f t="shared" ca="1" si="304"/>
        <v>801.09677604074818</v>
      </c>
      <c r="K656" s="307">
        <f t="shared" ca="1" si="305"/>
        <v>1548.3735011323104</v>
      </c>
      <c r="L656" s="304">
        <f t="shared" ca="1" si="290"/>
        <v>1743.3348914054377</v>
      </c>
      <c r="M656" s="306">
        <f t="shared" ca="1" si="306"/>
        <v>-1.4142917307251595</v>
      </c>
      <c r="N656" s="304">
        <f t="shared" ca="1" si="307"/>
        <v>-81.032947170804334</v>
      </c>
      <c r="P656" s="310">
        <f t="shared" ca="1" si="308"/>
        <v>23</v>
      </c>
      <c r="Q656" s="304">
        <f t="shared" ca="1" si="309"/>
        <v>0</v>
      </c>
      <c r="R656" s="306">
        <f t="shared" ca="1" si="310"/>
        <v>0</v>
      </c>
      <c r="S656" s="307">
        <f t="shared" ca="1" si="311"/>
        <v>4.9929999999999914</v>
      </c>
      <c r="T656" s="304">
        <f t="shared" ca="1" si="291"/>
        <v>48.981329999999922</v>
      </c>
      <c r="U656" s="311">
        <f t="shared" ca="1" si="292"/>
        <v>0</v>
      </c>
      <c r="V656" s="306">
        <f t="shared" ca="1" si="293"/>
        <v>1.0489535305263378</v>
      </c>
      <c r="W656" s="304">
        <f t="shared" ca="1" si="294"/>
        <v>27.857927612650787</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4.1642956154401585</v>
      </c>
      <c r="AH656" s="304">
        <f t="shared" ca="1" si="318"/>
        <v>-5.5231816007288899</v>
      </c>
    </row>
    <row r="657" spans="1:34" x14ac:dyDescent="0.2">
      <c r="A657" s="347">
        <f t="shared" ca="1" si="296"/>
        <v>0.1</v>
      </c>
      <c r="B657" s="304">
        <f t="shared" ca="1" si="297"/>
        <v>29.300000000000104</v>
      </c>
      <c r="D657" s="306">
        <f t="shared" ca="1" si="298"/>
        <v>-0.86964093327398273</v>
      </c>
      <c r="E657" s="307">
        <f t="shared" ca="1" si="299"/>
        <v>-4.2987939671698188</v>
      </c>
      <c r="F657" s="304">
        <f t="shared" ca="1" si="300"/>
        <v>4.3858756166814938</v>
      </c>
      <c r="G657" s="306">
        <f t="shared" ca="1" si="301"/>
        <v>14.014941493385717</v>
      </c>
      <c r="H657" s="307">
        <f t="shared" ca="1" si="302"/>
        <v>-89.798381004965904</v>
      </c>
      <c r="I657" s="304">
        <f t="shared" ca="1" si="303"/>
        <v>90.885465373601107</v>
      </c>
      <c r="J657" s="306">
        <f t="shared" ca="1" si="304"/>
        <v>802.50261839475309</v>
      </c>
      <c r="K657" s="307">
        <f t="shared" ca="1" si="305"/>
        <v>1539.4151570016497</v>
      </c>
      <c r="L657" s="304">
        <f t="shared" ca="1" si="290"/>
        <v>1736.0326834875111</v>
      </c>
      <c r="M657" s="306">
        <f t="shared" ca="1" si="306"/>
        <v>-1.4159741239504466</v>
      </c>
      <c r="N657" s="304">
        <f t="shared" ca="1" si="307"/>
        <v>-81.129341202094693</v>
      </c>
      <c r="P657" s="310">
        <f t="shared" ca="1" si="308"/>
        <v>23</v>
      </c>
      <c r="Q657" s="304">
        <f t="shared" ca="1" si="309"/>
        <v>0</v>
      </c>
      <c r="R657" s="306">
        <f t="shared" ca="1" si="310"/>
        <v>0</v>
      </c>
      <c r="S657" s="307">
        <f t="shared" ca="1" si="311"/>
        <v>4.9929999999999914</v>
      </c>
      <c r="T657" s="304">
        <f t="shared" ca="1" si="291"/>
        <v>48.981329999999922</v>
      </c>
      <c r="U657" s="311">
        <f t="shared" ca="1" si="292"/>
        <v>0</v>
      </c>
      <c r="V657" s="306">
        <f t="shared" ca="1" si="293"/>
        <v>1.0498992785011598</v>
      </c>
      <c r="W657" s="304">
        <f t="shared" ca="1" si="294"/>
        <v>28.13707362033426</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4.11070680524774</v>
      </c>
      <c r="AH657" s="304">
        <f t="shared" ca="1" si="318"/>
        <v>-5.5793966778791981</v>
      </c>
    </row>
    <row r="658" spans="1:34" x14ac:dyDescent="0.2">
      <c r="A658" s="347">
        <f t="shared" ca="1" si="296"/>
        <v>0.1</v>
      </c>
      <c r="B658" s="304">
        <f t="shared" ca="1" si="297"/>
        <v>29.400000000000105</v>
      </c>
      <c r="D658" s="306">
        <f t="shared" ca="1" si="298"/>
        <v>-0.86898887113907952</v>
      </c>
      <c r="E658" s="307">
        <f t="shared" ca="1" si="299"/>
        <v>-4.2420999287474768</v>
      </c>
      <c r="F658" s="304">
        <f t="shared" ca="1" si="300"/>
        <v>4.3301909269272318</v>
      </c>
      <c r="G658" s="306">
        <f t="shared" ca="1" si="301"/>
        <v>13.928042606271809</v>
      </c>
      <c r="H658" s="307">
        <f t="shared" ca="1" si="302"/>
        <v>-90.222590997840655</v>
      </c>
      <c r="I658" s="304">
        <f t="shared" ca="1" si="303"/>
        <v>91.291326516848031</v>
      </c>
      <c r="J658" s="306">
        <f t="shared" ca="1" si="304"/>
        <v>803.89976759973592</v>
      </c>
      <c r="K658" s="307">
        <f t="shared" ca="1" si="305"/>
        <v>1530.4141084015093</v>
      </c>
      <c r="L658" s="304">
        <f t="shared" ca="1" si="290"/>
        <v>1728.7053478083812</v>
      </c>
      <c r="M658" s="306">
        <f t="shared" ca="1" si="306"/>
        <v>-1.4176311774956172</v>
      </c>
      <c r="N658" s="304">
        <f t="shared" ca="1" si="307"/>
        <v>-81.224283376660154</v>
      </c>
      <c r="P658" s="310">
        <f t="shared" ca="1" si="308"/>
        <v>23</v>
      </c>
      <c r="Q658" s="304">
        <f t="shared" ca="1" si="309"/>
        <v>0</v>
      </c>
      <c r="R658" s="306">
        <f t="shared" ca="1" si="310"/>
        <v>0</v>
      </c>
      <c r="S658" s="307">
        <f t="shared" ca="1" si="311"/>
        <v>4.9929999999999914</v>
      </c>
      <c r="T658" s="304">
        <f t="shared" ca="1" si="291"/>
        <v>48.981329999999922</v>
      </c>
      <c r="U658" s="311">
        <f t="shared" ca="1" si="292"/>
        <v>0</v>
      </c>
      <c r="V658" s="306">
        <f t="shared" ca="1" si="293"/>
        <v>1.050850327508537</v>
      </c>
      <c r="W658" s="304">
        <f t="shared" ca="1" si="294"/>
        <v>28.414650476816632</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4.0573580820602473</v>
      </c>
      <c r="AH658" s="304">
        <f t="shared" ca="1" si="318"/>
        <v>-5.6353041498766885</v>
      </c>
    </row>
    <row r="659" spans="1:34" x14ac:dyDescent="0.2">
      <c r="A659" s="347">
        <f t="shared" ca="1" si="296"/>
        <v>0.1</v>
      </c>
      <c r="B659" s="304">
        <f t="shared" ca="1" si="297"/>
        <v>29.500000000000107</v>
      </c>
      <c r="D659" s="306">
        <f t="shared" ca="1" si="298"/>
        <v>-0.86824306104426208</v>
      </c>
      <c r="E659" s="307">
        <f t="shared" ca="1" si="299"/>
        <v>-4.185725233060726</v>
      </c>
      <c r="F659" s="304">
        <f t="shared" ca="1" si="300"/>
        <v>4.2748265157469003</v>
      </c>
      <c r="G659" s="306">
        <f t="shared" ca="1" si="301"/>
        <v>13.841218300167384</v>
      </c>
      <c r="H659" s="307">
        <f t="shared" ca="1" si="302"/>
        <v>-90.641163521146723</v>
      </c>
      <c r="I659" s="304">
        <f t="shared" ca="1" si="303"/>
        <v>91.691874495508856</v>
      </c>
      <c r="J659" s="306">
        <f t="shared" ca="1" si="304"/>
        <v>805.28823064505787</v>
      </c>
      <c r="K659" s="307">
        <f t="shared" ca="1" si="305"/>
        <v>1521.37092067556</v>
      </c>
      <c r="L659" s="304">
        <f t="shared" ca="1" si="290"/>
        <v>1721.3537151592782</v>
      </c>
      <c r="M659" s="306">
        <f t="shared" ca="1" si="306"/>
        <v>-1.4192634735013636</v>
      </c>
      <c r="N659" s="304">
        <f t="shared" ca="1" si="307"/>
        <v>-81.31780704870549</v>
      </c>
      <c r="P659" s="310">
        <f t="shared" ca="1" si="308"/>
        <v>23</v>
      </c>
      <c r="Q659" s="304">
        <f t="shared" ca="1" si="309"/>
        <v>0</v>
      </c>
      <c r="R659" s="306">
        <f t="shared" ca="1" si="310"/>
        <v>0</v>
      </c>
      <c r="S659" s="307">
        <f t="shared" ca="1" si="311"/>
        <v>4.9929999999999914</v>
      </c>
      <c r="T659" s="304">
        <f t="shared" ca="1" si="291"/>
        <v>48.981329999999922</v>
      </c>
      <c r="U659" s="311">
        <f t="shared" ca="1" si="292"/>
        <v>0</v>
      </c>
      <c r="V659" s="306">
        <f t="shared" ca="1" si="293"/>
        <v>1.0518066300518873</v>
      </c>
      <c r="W659" s="304">
        <f t="shared" ca="1" si="294"/>
        <v>28.690626091185607</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4.0042582721973146</v>
      </c>
      <c r="AH659" s="304">
        <f t="shared" ca="1" si="318"/>
        <v>-5.6908973516556545</v>
      </c>
    </row>
    <row r="660" spans="1:34" x14ac:dyDescent="0.2">
      <c r="A660" s="347">
        <f t="shared" ca="1" si="296"/>
        <v>0.1</v>
      </c>
      <c r="B660" s="304">
        <f t="shared" ca="1" si="297"/>
        <v>29.600000000000108</v>
      </c>
      <c r="D660" s="306">
        <f t="shared" ca="1" si="298"/>
        <v>-0.86740501058384978</v>
      </c>
      <c r="E660" s="307">
        <f t="shared" ca="1" si="299"/>
        <v>-4.1296763681964386</v>
      </c>
      <c r="F660" s="304">
        <f t="shared" ca="1" si="300"/>
        <v>4.2197888997467752</v>
      </c>
      <c r="G660" s="306">
        <f t="shared" ca="1" si="301"/>
        <v>13.754477799108999</v>
      </c>
      <c r="H660" s="307">
        <f t="shared" ca="1" si="302"/>
        <v>-91.054131157966367</v>
      </c>
      <c r="I660" s="304">
        <f t="shared" ca="1" si="303"/>
        <v>92.087135151758972</v>
      </c>
      <c r="J660" s="306">
        <f t="shared" ca="1" si="304"/>
        <v>806.6680154500217</v>
      </c>
      <c r="K660" s="307">
        <f t="shared" ca="1" si="305"/>
        <v>1512.2861559416044</v>
      </c>
      <c r="L660" s="304">
        <f t="shared" ca="1" si="290"/>
        <v>1713.9786184788629</v>
      </c>
      <c r="M660" s="306">
        <f t="shared" ca="1" si="306"/>
        <v>-1.4208715758986439</v>
      </c>
      <c r="N660" s="304">
        <f t="shared" ca="1" si="307"/>
        <v>-81.409944529094517</v>
      </c>
      <c r="P660" s="310">
        <f t="shared" ca="1" si="308"/>
        <v>23</v>
      </c>
      <c r="Q660" s="304">
        <f t="shared" ca="1" si="309"/>
        <v>0</v>
      </c>
      <c r="R660" s="306">
        <f t="shared" ca="1" si="310"/>
        <v>0</v>
      </c>
      <c r="S660" s="307">
        <f t="shared" ca="1" si="311"/>
        <v>4.9929999999999914</v>
      </c>
      <c r="T660" s="304">
        <f t="shared" ca="1" si="291"/>
        <v>48.981329999999922</v>
      </c>
      <c r="U660" s="311">
        <f t="shared" ca="1" si="292"/>
        <v>0</v>
      </c>
      <c r="V660" s="306">
        <f t="shared" ca="1" si="293"/>
        <v>1.0527681388580081</v>
      </c>
      <c r="W660" s="304">
        <f t="shared" ca="1" si="294"/>
        <v>28.964969549498061</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3.9514158791759142</v>
      </c>
      <c r="AH660" s="304">
        <f t="shared" ca="1" si="318"/>
        <v>-5.7461698560355812</v>
      </c>
    </row>
    <row r="661" spans="1:34" x14ac:dyDescent="0.2">
      <c r="A661" s="347">
        <f t="shared" ca="1" si="296"/>
        <v>0.1</v>
      </c>
      <c r="B661" s="304">
        <f t="shared" ca="1" si="297"/>
        <v>29.700000000000109</v>
      </c>
      <c r="D661" s="306">
        <f t="shared" ca="1" si="298"/>
        <v>-0.86647623288683673</v>
      </c>
      <c r="E661" s="307">
        <f t="shared" ca="1" si="299"/>
        <v>-4.0739595841545206</v>
      </c>
      <c r="F661" s="304">
        <f t="shared" ca="1" si="300"/>
        <v>4.165084363549223</v>
      </c>
      <c r="G661" s="306">
        <f t="shared" ca="1" si="301"/>
        <v>13.667830175820315</v>
      </c>
      <c r="H661" s="307">
        <f t="shared" ca="1" si="302"/>
        <v>-91.461527116381816</v>
      </c>
      <c r="I661" s="304">
        <f t="shared" ca="1" si="303"/>
        <v>92.47713514256219</v>
      </c>
      <c r="J661" s="306">
        <f t="shared" ca="1" si="304"/>
        <v>808.0391308487682</v>
      </c>
      <c r="K661" s="307">
        <f t="shared" ca="1" si="305"/>
        <v>1503.1603730278871</v>
      </c>
      <c r="L661" s="304">
        <f t="shared" ca="1" si="290"/>
        <v>1706.5808929037526</v>
      </c>
      <c r="M661" s="306">
        <f t="shared" ca="1" si="306"/>
        <v>-1.4224560311065799</v>
      </c>
      <c r="N661" s="304">
        <f t="shared" ca="1" si="307"/>
        <v>-81.500727125336766</v>
      </c>
      <c r="P661" s="310">
        <f t="shared" ca="1" si="308"/>
        <v>23</v>
      </c>
      <c r="Q661" s="304">
        <f t="shared" ca="1" si="309"/>
        <v>0</v>
      </c>
      <c r="R661" s="306">
        <f t="shared" ca="1" si="310"/>
        <v>0</v>
      </c>
      <c r="S661" s="307">
        <f t="shared" ca="1" si="311"/>
        <v>4.9929999999999914</v>
      </c>
      <c r="T661" s="304">
        <f t="shared" ca="1" si="291"/>
        <v>48.981329999999922</v>
      </c>
      <c r="U661" s="311">
        <f t="shared" ca="1" si="292"/>
        <v>0</v>
      </c>
      <c r="V661" s="306">
        <f t="shared" ca="1" si="293"/>
        <v>1.0537348068827266</v>
      </c>
      <c r="W661" s="304">
        <f t="shared" ca="1" si="294"/>
        <v>29.237651103452745</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3.8988390898194254</v>
      </c>
      <c r="AH661" s="304">
        <f t="shared" ca="1" si="318"/>
        <v>-5.8011154715598057</v>
      </c>
    </row>
    <row r="662" spans="1:34" x14ac:dyDescent="0.2">
      <c r="A662" s="347">
        <f t="shared" ca="1" si="296"/>
        <v>0.1</v>
      </c>
      <c r="B662" s="304">
        <f t="shared" ca="1" si="297"/>
        <v>29.800000000000111</v>
      </c>
      <c r="D662" s="306">
        <f t="shared" ca="1" si="298"/>
        <v>-0.86545824564952634</v>
      </c>
      <c r="E662" s="307">
        <f t="shared" ca="1" si="299"/>
        <v>-4.0185808951149298</v>
      </c>
      <c r="F662" s="304">
        <f t="shared" ca="1" si="300"/>
        <v>4.110718962121525</v>
      </c>
      <c r="G662" s="306">
        <f t="shared" ca="1" si="301"/>
        <v>13.581284351255363</v>
      </c>
      <c r="H662" s="307">
        <f t="shared" ca="1" si="302"/>
        <v>-91.863385205893309</v>
      </c>
      <c r="I662" s="304">
        <f t="shared" ca="1" si="303"/>
        <v>92.861901908780609</v>
      </c>
      <c r="J662" s="306">
        <f t="shared" ca="1" si="304"/>
        <v>809.401586575122</v>
      </c>
      <c r="K662" s="307">
        <f t="shared" ca="1" si="305"/>
        <v>1493.9941274117734</v>
      </c>
      <c r="L662" s="304">
        <f t="shared" ca="1" si="290"/>
        <v>1699.1613758237299</v>
      </c>
      <c r="M662" s="306">
        <f t="shared" ca="1" si="306"/>
        <v>-1.4240173686990201</v>
      </c>
      <c r="N662" s="304">
        <f t="shared" ca="1" si="307"/>
        <v>-81.590185179778715</v>
      </c>
      <c r="P662" s="310">
        <f t="shared" ca="1" si="308"/>
        <v>23</v>
      </c>
      <c r="Q662" s="304">
        <f t="shared" ca="1" si="309"/>
        <v>0</v>
      </c>
      <c r="R662" s="306">
        <f t="shared" ca="1" si="310"/>
        <v>0</v>
      </c>
      <c r="S662" s="307">
        <f t="shared" ca="1" si="311"/>
        <v>4.9929999999999914</v>
      </c>
      <c r="T662" s="304">
        <f t="shared" ca="1" si="291"/>
        <v>48.981329999999922</v>
      </c>
      <c r="U662" s="311">
        <f t="shared" ca="1" si="292"/>
        <v>0</v>
      </c>
      <c r="V662" s="306">
        <f t="shared" ca="1" si="293"/>
        <v>1.0547065873163703</v>
      </c>
      <c r="W662" s="304">
        <f t="shared" ca="1" si="294"/>
        <v>29.508642158553563</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3.8465357802634825</v>
      </c>
      <c r="AH662" s="304">
        <f t="shared" ca="1" si="318"/>
        <v>-5.8557282402268767</v>
      </c>
    </row>
    <row r="663" spans="1:34" x14ac:dyDescent="0.2">
      <c r="A663" s="347">
        <f t="shared" ca="1" si="296"/>
        <v>0.1</v>
      </c>
      <c r="B663" s="304">
        <f t="shared" ca="1" si="297"/>
        <v>29.900000000000112</v>
      </c>
      <c r="D663" s="306">
        <f t="shared" ca="1" si="298"/>
        <v>-0.86435257019418577</v>
      </c>
      <c r="E663" s="307">
        <f t="shared" ca="1" si="299"/>
        <v>-3.963546081809783</v>
      </c>
      <c r="F663" s="304">
        <f t="shared" ca="1" si="300"/>
        <v>4.0566985232120683</v>
      </c>
      <c r="G663" s="306">
        <f t="shared" ca="1" si="301"/>
        <v>13.494849094235944</v>
      </c>
      <c r="H663" s="307">
        <f t="shared" ca="1" si="302"/>
        <v>-92.259739814074294</v>
      </c>
      <c r="I663" s="304">
        <f t="shared" ca="1" si="303"/>
        <v>93.241463644866087</v>
      </c>
      <c r="J663" s="306">
        <f t="shared" ca="1" si="304"/>
        <v>810.75539324739657</v>
      </c>
      <c r="K663" s="307">
        <f t="shared" ca="1" si="305"/>
        <v>1484.787971160775</v>
      </c>
      <c r="L663" s="304">
        <f t="shared" ca="1" si="290"/>
        <v>1691.7209069416479</v>
      </c>
      <c r="M663" s="306">
        <f t="shared" ca="1" si="306"/>
        <v>-1.4255561020413754</v>
      </c>
      <c r="N663" s="304">
        <f t="shared" ca="1" si="307"/>
        <v>-81.678348106091732</v>
      </c>
      <c r="P663" s="310">
        <f t="shared" ca="1" si="308"/>
        <v>23</v>
      </c>
      <c r="Q663" s="304">
        <f t="shared" ca="1" si="309"/>
        <v>0</v>
      </c>
      <c r="R663" s="306">
        <f t="shared" ca="1" si="310"/>
        <v>0</v>
      </c>
      <c r="S663" s="307">
        <f t="shared" ca="1" si="311"/>
        <v>4.9929999999999914</v>
      </c>
      <c r="T663" s="304">
        <f t="shared" ca="1" si="291"/>
        <v>48.981329999999922</v>
      </c>
      <c r="U663" s="311">
        <f t="shared" ca="1" si="292"/>
        <v>0</v>
      </c>
      <c r="V663" s="306">
        <f t="shared" ca="1" si="293"/>
        <v>1.0556834335890652</v>
      </c>
      <c r="W663" s="304">
        <f t="shared" ca="1" si="294"/>
        <v>29.777915261789314</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3.7945135218659303</v>
      </c>
      <c r="AH663" s="304">
        <f t="shared" ca="1" si="318"/>
        <v>-5.9100024351198908</v>
      </c>
    </row>
    <row r="664" spans="1:34" x14ac:dyDescent="0.2">
      <c r="A664" s="347">
        <f t="shared" ca="1" si="296"/>
        <v>0.1</v>
      </c>
      <c r="B664" s="304">
        <f t="shared" ca="1" si="297"/>
        <v>30.000000000000114</v>
      </c>
      <c r="D664" s="306">
        <f t="shared" ca="1" si="298"/>
        <v>-0.86316073055357445</v>
      </c>
      <c r="E664" s="307">
        <f t="shared" ca="1" si="299"/>
        <v>-3.9088606939951944</v>
      </c>
      <c r="F664" s="304">
        <f t="shared" ca="1" si="300"/>
        <v>4.0030286498887779</v>
      </c>
      <c r="G664" s="306">
        <f t="shared" ca="1" si="301"/>
        <v>13.408533021180586</v>
      </c>
      <c r="H664" s="307">
        <f t="shared" ca="1" si="302"/>
        <v>-92.650625883473808</v>
      </c>
      <c r="I664" s="304">
        <f t="shared" ca="1" si="303"/>
        <v>93.615849269124922</v>
      </c>
      <c r="J664" s="306">
        <f t="shared" ca="1" si="304"/>
        <v>812.10056235316745</v>
      </c>
      <c r="K664" s="307">
        <f t="shared" ca="1" si="305"/>
        <v>1475.5424528758977</v>
      </c>
      <c r="L664" s="304">
        <f t="shared" ca="1" si="290"/>
        <v>1684.2603283380367</v>
      </c>
      <c r="M664" s="306">
        <f t="shared" ca="1" si="306"/>
        <v>-1.4270727288992384</v>
      </c>
      <c r="N664" s="304">
        <f t="shared" ca="1" si="307"/>
        <v>-81.765244424143475</v>
      </c>
      <c r="P664" s="310">
        <f t="shared" ca="1" si="308"/>
        <v>23</v>
      </c>
      <c r="Q664" s="304">
        <f t="shared" ca="1" si="309"/>
        <v>0</v>
      </c>
      <c r="R664" s="306">
        <f t="shared" ca="1" si="310"/>
        <v>0</v>
      </c>
      <c r="S664" s="307">
        <f t="shared" ca="1" si="311"/>
        <v>4.9929999999999914</v>
      </c>
      <c r="T664" s="304">
        <f t="shared" ca="1" si="291"/>
        <v>48.981329999999922</v>
      </c>
      <c r="U664" s="311">
        <f t="shared" ca="1" si="292"/>
        <v>0</v>
      </c>
      <c r="V664" s="306">
        <f t="shared" ca="1" si="293"/>
        <v>1.0566652993758567</v>
      </c>
      <c r="W664" s="304">
        <f t="shared" ca="1" si="294"/>
        <v>30.045444088855312</v>
      </c>
      <c r="Y664" s="314" t="str">
        <f t="shared" ca="1" si="312"/>
        <v/>
      </c>
      <c r="Z664" s="315" t="str">
        <f t="shared" ca="1" si="313"/>
        <v/>
      </c>
      <c r="AA664" s="316" t="str">
        <f t="shared" ca="1" si="314"/>
        <v/>
      </c>
      <c r="AC664" s="310">
        <f t="shared" ca="1" si="315"/>
        <v>30.000000000000114</v>
      </c>
      <c r="AD664" s="323">
        <f t="shared" ca="1" si="316"/>
        <v>812.10056235316745</v>
      </c>
      <c r="AE664" s="324" t="e">
        <f t="shared" ca="1" si="295"/>
        <v>#N/A</v>
      </c>
      <c r="AG664" s="306">
        <f t="shared" ca="1" si="317"/>
        <v>3.7427795870274565</v>
      </c>
      <c r="AH664" s="304">
        <f t="shared" ca="1" si="318"/>
        <v>-5.9639325579389872</v>
      </c>
    </row>
    <row r="665" spans="1:34" x14ac:dyDescent="0.2">
      <c r="A665" s="347">
        <f t="shared" ca="1" si="296"/>
        <v>0.1</v>
      </c>
      <c r="B665" s="304">
        <f t="shared" ca="1" si="297"/>
        <v>30.100000000000115</v>
      </c>
      <c r="D665" s="306">
        <f t="shared" ca="1" si="298"/>
        <v>-0.86188425258124701</v>
      </c>
      <c r="E665" s="307">
        <f t="shared" ca="1" si="299"/>
        <v>-3.8545300530175712</v>
      </c>
      <c r="F665" s="304">
        <f t="shared" ca="1" si="300"/>
        <v>3.9497147231747225</v>
      </c>
      <c r="G665" s="306">
        <f t="shared" ca="1" si="301"/>
        <v>13.322344595922461</v>
      </c>
      <c r="H665" s="307">
        <f t="shared" ca="1" si="302"/>
        <v>-93.036078888775563</v>
      </c>
      <c r="I665" s="304">
        <f t="shared" ca="1" si="303"/>
        <v>93.985088394547859</v>
      </c>
      <c r="J665" s="306">
        <f t="shared" ca="1" si="304"/>
        <v>813.43710623402262</v>
      </c>
      <c r="K665" s="307">
        <f t="shared" ca="1" si="305"/>
        <v>1466.2581176372853</v>
      </c>
      <c r="L665" s="304">
        <f t="shared" ca="1" si="290"/>
        <v>1676.780484540423</v>
      </c>
      <c r="M665" s="306">
        <f t="shared" ca="1" si="306"/>
        <v>-1.4285677320202208</v>
      </c>
      <c r="N665" s="304">
        <f t="shared" ca="1" si="307"/>
        <v>-81.850901793334643</v>
      </c>
      <c r="P665" s="310">
        <f t="shared" ca="1" si="308"/>
        <v>23</v>
      </c>
      <c r="Q665" s="304">
        <f t="shared" ca="1" si="309"/>
        <v>0</v>
      </c>
      <c r="R665" s="306">
        <f t="shared" ca="1" si="310"/>
        <v>0</v>
      </c>
      <c r="S665" s="307">
        <f t="shared" ca="1" si="311"/>
        <v>4.9929999999999914</v>
      </c>
      <c r="T665" s="304">
        <f t="shared" ca="1" si="291"/>
        <v>48.981329999999922</v>
      </c>
      <c r="U665" s="311">
        <f t="shared" ca="1" si="292"/>
        <v>0</v>
      </c>
      <c r="V665" s="306">
        <f t="shared" ca="1" si="293"/>
        <v>1.0576521386016606</v>
      </c>
      <c r="W665" s="304">
        <f t="shared" ca="1" si="294"/>
        <v>30.311203430942342</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3.691340954928843</v>
      </c>
      <c r="AH665" s="304">
        <f t="shared" ca="1" si="318"/>
        <v>-6.0175133364420921</v>
      </c>
    </row>
    <row r="666" spans="1:34" x14ac:dyDescent="0.2">
      <c r="A666" s="347">
        <f t="shared" ca="1" si="296"/>
        <v>0.1</v>
      </c>
      <c r="B666" s="304">
        <f t="shared" ca="1" si="297"/>
        <v>30.200000000000117</v>
      </c>
      <c r="D666" s="306">
        <f t="shared" ca="1" si="298"/>
        <v>-0.86052466308743092</v>
      </c>
      <c r="E666" s="307">
        <f t="shared" ca="1" si="299"/>
        <v>-3.800559254469146</v>
      </c>
      <c r="F666" s="304">
        <f t="shared" ca="1" si="300"/>
        <v>3.8967619047759134</v>
      </c>
      <c r="G666" s="306">
        <f t="shared" ca="1" si="301"/>
        <v>13.236292129613718</v>
      </c>
      <c r="H666" s="307">
        <f t="shared" ca="1" si="302"/>
        <v>-93.416134814222474</v>
      </c>
      <c r="I666" s="304">
        <f t="shared" ca="1" si="303"/>
        <v>94.349211300198263</v>
      </c>
      <c r="J666" s="306">
        <f t="shared" ca="1" si="304"/>
        <v>814.7650380702994</v>
      </c>
      <c r="K666" s="307">
        <f t="shared" ca="1" si="305"/>
        <v>1456.9355069521355</v>
      </c>
      <c r="L666" s="304">
        <f t="shared" ca="1" si="290"/>
        <v>1669.2822225973571</v>
      </c>
      <c r="M666" s="306">
        <f t="shared" ca="1" si="306"/>
        <v>-1.4300415796903494</v>
      </c>
      <c r="N666" s="304">
        <f t="shared" ca="1" si="307"/>
        <v>-81.935347044478206</v>
      </c>
      <c r="P666" s="310">
        <f t="shared" ca="1" si="308"/>
        <v>23</v>
      </c>
      <c r="Q666" s="304">
        <f t="shared" ca="1" si="309"/>
        <v>0</v>
      </c>
      <c r="R666" s="306">
        <f t="shared" ca="1" si="310"/>
        <v>0</v>
      </c>
      <c r="S666" s="307">
        <f t="shared" ca="1" si="311"/>
        <v>4.9929999999999914</v>
      </c>
      <c r="T666" s="304">
        <f t="shared" ca="1" si="291"/>
        <v>48.981329999999922</v>
      </c>
      <c r="U666" s="311">
        <f t="shared" ca="1" si="292"/>
        <v>0</v>
      </c>
      <c r="V666" s="306">
        <f t="shared" ca="1" si="293"/>
        <v>1.0586439054460408</v>
      </c>
      <c r="W666" s="304">
        <f t="shared" ca="1" si="294"/>
        <v>30.575169181117747</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3.6402043171899994</v>
      </c>
      <c r="AH666" s="304">
        <f t="shared" ca="1" si="318"/>
        <v>-6.0707397217989971</v>
      </c>
    </row>
    <row r="667" spans="1:34" x14ac:dyDescent="0.2">
      <c r="A667" s="347">
        <f t="shared" ca="1" si="296"/>
        <v>0.1</v>
      </c>
      <c r="B667" s="304">
        <f t="shared" ca="1" si="297"/>
        <v>30.300000000000118</v>
      </c>
      <c r="D667" s="306">
        <f t="shared" ca="1" si="298"/>
        <v>-0.85908348900036513</v>
      </c>
      <c r="E667" s="307">
        <f t="shared" ca="1" si="299"/>
        <v>-3.7469531709275801</v>
      </c>
      <c r="F667" s="304">
        <f t="shared" ca="1" si="300"/>
        <v>3.8441751398963713</v>
      </c>
      <c r="G667" s="306">
        <f t="shared" ca="1" si="301"/>
        <v>13.150383780713682</v>
      </c>
      <c r="H667" s="307">
        <f t="shared" ca="1" si="302"/>
        <v>-93.790830131315232</v>
      </c>
      <c r="I667" s="304">
        <f t="shared" ca="1" si="303"/>
        <v>94.708248903151443</v>
      </c>
      <c r="J667" s="306">
        <f t="shared" ca="1" si="304"/>
        <v>816.0843718658158</v>
      </c>
      <c r="K667" s="307">
        <f t="shared" ca="1" si="305"/>
        <v>1447.5751587048585</v>
      </c>
      <c r="L667" s="304">
        <f t="shared" ca="1" si="290"/>
        <v>1661.7663921571586</v>
      </c>
      <c r="M667" s="306">
        <f t="shared" ca="1" si="306"/>
        <v>-1.4314947262662991</v>
      </c>
      <c r="N667" s="304">
        <f t="shared" ca="1" si="307"/>
        <v>-82.01860621029401</v>
      </c>
      <c r="P667" s="310">
        <f t="shared" ca="1" si="308"/>
        <v>23</v>
      </c>
      <c r="Q667" s="304">
        <f t="shared" ca="1" si="309"/>
        <v>0</v>
      </c>
      <c r="R667" s="306">
        <f t="shared" ca="1" si="310"/>
        <v>0</v>
      </c>
      <c r="S667" s="307">
        <f t="shared" ca="1" si="311"/>
        <v>4.9929999999999914</v>
      </c>
      <c r="T667" s="304">
        <f t="shared" ca="1" si="291"/>
        <v>48.981329999999922</v>
      </c>
      <c r="U667" s="311">
        <f t="shared" ca="1" si="292"/>
        <v>0</v>
      </c>
      <c r="V667" s="306">
        <f t="shared" ca="1" si="293"/>
        <v>1.05964055434782</v>
      </c>
      <c r="W667" s="304">
        <f t="shared" ca="1" si="294"/>
        <v>30.83731832032322</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3.5893760834554103</v>
      </c>
      <c r="AH667" s="304">
        <f t="shared" ca="1" si="318"/>
        <v>-6.1236068858637696</v>
      </c>
    </row>
    <row r="668" spans="1:34" x14ac:dyDescent="0.2">
      <c r="A668" s="347">
        <f t="shared" ca="1" si="296"/>
        <v>0.1</v>
      </c>
      <c r="B668" s="304">
        <f t="shared" ca="1" si="297"/>
        <v>30.400000000000119</v>
      </c>
      <c r="D668" s="306">
        <f t="shared" ca="1" si="298"/>
        <v>-0.85756225655287444</v>
      </c>
      <c r="E668" s="307">
        <f t="shared" ca="1" si="299"/>
        <v>-3.6937164547746093</v>
      </c>
      <c r="F668" s="304">
        <f t="shared" ca="1" si="300"/>
        <v>3.7919591601356637</v>
      </c>
      <c r="G668" s="306">
        <f t="shared" ca="1" si="301"/>
        <v>13.064627555058394</v>
      </c>
      <c r="H668" s="307">
        <f t="shared" ca="1" si="302"/>
        <v>-94.16020177679269</v>
      </c>
      <c r="I668" s="304">
        <f t="shared" ca="1" si="303"/>
        <v>95.062232730978423</v>
      </c>
      <c r="J668" s="306">
        <f t="shared" ca="1" si="304"/>
        <v>817.39512243260435</v>
      </c>
      <c r="K668" s="307">
        <f t="shared" ca="1" si="305"/>
        <v>1438.177607109453</v>
      </c>
      <c r="L668" s="304">
        <f t="shared" ca="1" si="290"/>
        <v>1654.2338455513732</v>
      </c>
      <c r="M668" s="306">
        <f t="shared" ca="1" si="306"/>
        <v>-1.4329276126846586</v>
      </c>
      <c r="N668" s="304">
        <f t="shared" ca="1" si="307"/>
        <v>-82.100704554587622</v>
      </c>
      <c r="P668" s="310">
        <f t="shared" ca="1" si="308"/>
        <v>23</v>
      </c>
      <c r="Q668" s="304">
        <f t="shared" ca="1" si="309"/>
        <v>0</v>
      </c>
      <c r="R668" s="306">
        <f t="shared" ca="1" si="310"/>
        <v>0</v>
      </c>
      <c r="S668" s="307">
        <f t="shared" ca="1" si="311"/>
        <v>4.9929999999999914</v>
      </c>
      <c r="T668" s="304">
        <f t="shared" ca="1" si="291"/>
        <v>48.981329999999922</v>
      </c>
      <c r="U668" s="311">
        <f t="shared" ca="1" si="292"/>
        <v>0</v>
      </c>
      <c r="V668" s="306">
        <f t="shared" ca="1" si="293"/>
        <v>1.0606420400095173</v>
      </c>
      <c r="W668" s="304">
        <f t="shared" ca="1" si="294"/>
        <v>31.097628903013216</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3.538862386910119</v>
      </c>
      <c r="AH668" s="304">
        <f t="shared" ca="1" si="318"/>
        <v>-6.1761102183703729</v>
      </c>
    </row>
    <row r="669" spans="1:34" x14ac:dyDescent="0.2">
      <c r="A669" s="347">
        <f t="shared" ca="1" si="296"/>
        <v>0.1</v>
      </c>
      <c r="B669" s="304">
        <f t="shared" ca="1" si="297"/>
        <v>30.500000000000121</v>
      </c>
      <c r="D669" s="306">
        <f t="shared" ca="1" si="298"/>
        <v>-0.85596249049401585</v>
      </c>
      <c r="E669" s="307">
        <f t="shared" ca="1" si="299"/>
        <v>-3.640853541088779</v>
      </c>
      <c r="F669" s="304">
        <f t="shared" ca="1" si="300"/>
        <v>3.7401184864642216</v>
      </c>
      <c r="G669" s="306">
        <f t="shared" ca="1" si="301"/>
        <v>12.979031306008991</v>
      </c>
      <c r="H669" s="307">
        <f t="shared" ca="1" si="302"/>
        <v>-94.52428713090157</v>
      </c>
      <c r="I669" s="304">
        <f t="shared" ca="1" si="303"/>
        <v>95.411194894768428</v>
      </c>
      <c r="J669" s="306">
        <f t="shared" ca="1" si="304"/>
        <v>818.69730537565772</v>
      </c>
      <c r="K669" s="307">
        <f t="shared" ca="1" si="305"/>
        <v>1428.7433826640683</v>
      </c>
      <c r="L669" s="304">
        <f t="shared" ca="1" si="290"/>
        <v>1646.6854378829391</v>
      </c>
      <c r="M669" s="306">
        <f t="shared" ca="1" si="306"/>
        <v>-1.4343406669493639</v>
      </c>
      <c r="N669" s="304">
        <f t="shared" ca="1" si="307"/>
        <v>-82.181666600178204</v>
      </c>
      <c r="P669" s="310">
        <f t="shared" ca="1" si="308"/>
        <v>23</v>
      </c>
      <c r="Q669" s="304">
        <f t="shared" ca="1" si="309"/>
        <v>0</v>
      </c>
      <c r="R669" s="306">
        <f t="shared" ca="1" si="310"/>
        <v>0</v>
      </c>
      <c r="S669" s="307">
        <f t="shared" ca="1" si="311"/>
        <v>4.9929999999999914</v>
      </c>
      <c r="T669" s="304">
        <f t="shared" ca="1" si="291"/>
        <v>48.981329999999922</v>
      </c>
      <c r="U669" s="311">
        <f t="shared" ca="1" si="292"/>
        <v>0</v>
      </c>
      <c r="V669" s="306">
        <f t="shared" ca="1" si="293"/>
        <v>1.0616483174016251</v>
      </c>
      <c r="W669" s="304">
        <f t="shared" ca="1" si="294"/>
        <v>31.356080042458228</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3.4886690897298021</v>
      </c>
      <c r="AH669" s="304">
        <f t="shared" ca="1" si="318"/>
        <v>-6.2282453240563331</v>
      </c>
    </row>
    <row r="670" spans="1:34" x14ac:dyDescent="0.2">
      <c r="A670" s="347">
        <f t="shared" ca="1" si="296"/>
        <v>0.1</v>
      </c>
      <c r="B670" s="304">
        <f t="shared" ca="1" si="297"/>
        <v>30.600000000000122</v>
      </c>
      <c r="D670" s="306">
        <f t="shared" ca="1" si="298"/>
        <v>-0.85428571332558723</v>
      </c>
      <c r="E670" s="307">
        <f t="shared" ca="1" si="299"/>
        <v>-3.5883686506072978</v>
      </c>
      <c r="F670" s="304">
        <f t="shared" ca="1" si="300"/>
        <v>3.6886574322717265</v>
      </c>
      <c r="G670" s="306">
        <f t="shared" ca="1" si="301"/>
        <v>12.893602734676433</v>
      </c>
      <c r="H670" s="307">
        <f t="shared" ca="1" si="302"/>
        <v>-94.883123995962293</v>
      </c>
      <c r="I670" s="304">
        <f t="shared" ca="1" si="303"/>
        <v>95.755168062683751</v>
      </c>
      <c r="J670" s="306">
        <f t="shared" ca="1" si="304"/>
        <v>819.99093707769202</v>
      </c>
      <c r="K670" s="307">
        <f t="shared" ca="1" si="305"/>
        <v>1419.2730121077252</v>
      </c>
      <c r="L670" s="304">
        <f t="shared" ca="1" si="290"/>
        <v>1639.1220271190571</v>
      </c>
      <c r="M670" s="306">
        <f t="shared" ca="1" si="306"/>
        <v>-1.435734304598371</v>
      </c>
      <c r="N670" s="304">
        <f t="shared" ca="1" si="307"/>
        <v>-82.261516155636841</v>
      </c>
      <c r="P670" s="310">
        <f t="shared" ca="1" si="308"/>
        <v>23</v>
      </c>
      <c r="Q670" s="304">
        <f t="shared" ca="1" si="309"/>
        <v>0</v>
      </c>
      <c r="R670" s="306">
        <f t="shared" ca="1" si="310"/>
        <v>0</v>
      </c>
      <c r="S670" s="307">
        <f t="shared" ca="1" si="311"/>
        <v>4.9929999999999914</v>
      </c>
      <c r="T670" s="304">
        <f t="shared" ca="1" si="291"/>
        <v>48.981329999999922</v>
      </c>
      <c r="U670" s="311">
        <f t="shared" ca="1" si="292"/>
        <v>0</v>
      </c>
      <c r="V670" s="306">
        <f t="shared" ca="1" si="293"/>
        <v>1.0626593417667187</v>
      </c>
      <c r="W670" s="304">
        <f t="shared" ca="1" si="294"/>
        <v>31.61265189573567</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3.4388017884680266</v>
      </c>
      <c r="AH670" s="304">
        <f t="shared" ca="1" si="318"/>
        <v>-6.2800080197192631</v>
      </c>
    </row>
    <row r="671" spans="1:34" x14ac:dyDescent="0.2">
      <c r="A671" s="347">
        <f t="shared" ca="1" si="296"/>
        <v>0.1</v>
      </c>
      <c r="B671" s="304">
        <f t="shared" ca="1" si="297"/>
        <v>30.700000000000124</v>
      </c>
      <c r="D671" s="306">
        <f t="shared" ca="1" si="298"/>
        <v>-0.8525334445632734</v>
      </c>
      <c r="E671" s="307">
        <f t="shared" ca="1" si="299"/>
        <v>-3.5362657927523085</v>
      </c>
      <c r="F671" s="304">
        <f t="shared" ca="1" si="300"/>
        <v>3.6375801064841213</v>
      </c>
      <c r="G671" s="306">
        <f t="shared" ca="1" si="301"/>
        <v>12.808349390220105</v>
      </c>
      <c r="H671" s="307">
        <f t="shared" ca="1" si="302"/>
        <v>-95.236750575237522</v>
      </c>
      <c r="I671" s="304">
        <f t="shared" ca="1" si="303"/>
        <v>96.09418543404152</v>
      </c>
      <c r="J671" s="306">
        <f t="shared" ca="1" si="304"/>
        <v>821.27603468393681</v>
      </c>
      <c r="K671" s="307">
        <f t="shared" ca="1" si="305"/>
        <v>1409.7670183791652</v>
      </c>
      <c r="L671" s="304">
        <f t="shared" ca="1" si="290"/>
        <v>1631.5444741887522</v>
      </c>
      <c r="M671" s="306">
        <f t="shared" ca="1" si="306"/>
        <v>-1.4371089291505796</v>
      </c>
      <c r="N671" s="304">
        <f t="shared" ca="1" si="307"/>
        <v>-82.340276340893453</v>
      </c>
      <c r="P671" s="310">
        <f t="shared" ca="1" si="308"/>
        <v>23</v>
      </c>
      <c r="Q671" s="304">
        <f t="shared" ca="1" si="309"/>
        <v>0</v>
      </c>
      <c r="R671" s="306">
        <f t="shared" ca="1" si="310"/>
        <v>0</v>
      </c>
      <c r="S671" s="307">
        <f t="shared" ca="1" si="311"/>
        <v>4.9929999999999914</v>
      </c>
      <c r="T671" s="304">
        <f t="shared" ca="1" si="291"/>
        <v>48.981329999999922</v>
      </c>
      <c r="U671" s="311">
        <f t="shared" ca="1" si="292"/>
        <v>0</v>
      </c>
      <c r="V671" s="306">
        <f t="shared" ca="1" si="293"/>
        <v>1.0636750686234029</v>
      </c>
      <c r="W671" s="304">
        <f t="shared" ca="1" si="294"/>
        <v>31.867325648431596</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3.3892658193834624</v>
      </c>
      <c r="AH671" s="304">
        <f t="shared" ca="1" si="318"/>
        <v>-6.3313943312108396</v>
      </c>
    </row>
    <row r="672" spans="1:34" x14ac:dyDescent="0.2">
      <c r="A672" s="347">
        <f t="shared" ca="1" si="296"/>
        <v>0.1</v>
      </c>
      <c r="B672" s="304">
        <f t="shared" ca="1" si="297"/>
        <v>30.800000000000125</v>
      </c>
      <c r="D672" s="306">
        <f t="shared" ca="1" si="298"/>
        <v>-0.85070720002220046</v>
      </c>
      <c r="E672" s="307">
        <f t="shared" ca="1" si="299"/>
        <v>-3.4845487687168113</v>
      </c>
      <c r="F672" s="304">
        <f t="shared" ca="1" si="300"/>
        <v>3.5868904167447684</v>
      </c>
      <c r="G672" s="306">
        <f t="shared" ca="1" si="301"/>
        <v>12.723278670217885</v>
      </c>
      <c r="H672" s="307">
        <f t="shared" ca="1" si="302"/>
        <v>-95.585205452109207</v>
      </c>
      <c r="I672" s="304">
        <f t="shared" ca="1" si="303"/>
        <v>96.428280713916848</v>
      </c>
      <c r="J672" s="306">
        <f t="shared" ca="1" si="304"/>
        <v>822.55261608695866</v>
      </c>
      <c r="K672" s="307">
        <f t="shared" ca="1" si="305"/>
        <v>1400.2259205777978</v>
      </c>
      <c r="L672" s="304">
        <f t="shared" ca="1" si="290"/>
        <v>1623.9536430851224</v>
      </c>
      <c r="M672" s="306">
        <f t="shared" ca="1" si="306"/>
        <v>-1.4384649325339636</v>
      </c>
      <c r="N672" s="304">
        <f t="shared" ca="1" si="307"/>
        <v>-82.417969611766821</v>
      </c>
      <c r="P672" s="310">
        <f t="shared" ca="1" si="308"/>
        <v>23</v>
      </c>
      <c r="Q672" s="304">
        <f t="shared" ca="1" si="309"/>
        <v>0</v>
      </c>
      <c r="R672" s="306">
        <f t="shared" ca="1" si="310"/>
        <v>0</v>
      </c>
      <c r="S672" s="307">
        <f t="shared" ca="1" si="311"/>
        <v>4.9929999999999914</v>
      </c>
      <c r="T672" s="304">
        <f t="shared" ca="1" si="291"/>
        <v>48.981329999999922</v>
      </c>
      <c r="U672" s="311">
        <f t="shared" ca="1" si="292"/>
        <v>0</v>
      </c>
      <c r="V672" s="306">
        <f t="shared" ca="1" si="293"/>
        <v>1.0646954537700981</v>
      </c>
      <c r="W672" s="304">
        <f t="shared" ca="1" si="294"/>
        <v>32.120083499075363</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3.3400662637093639</v>
      </c>
      <c r="AH672" s="304">
        <f t="shared" ca="1" si="318"/>
        <v>-6.3824004903728522</v>
      </c>
    </row>
    <row r="673" spans="1:34" x14ac:dyDescent="0.2">
      <c r="A673" s="347">
        <f t="shared" ca="1" si="296"/>
        <v>0.1</v>
      </c>
      <c r="B673" s="304">
        <f t="shared" ca="1" si="297"/>
        <v>30.900000000000126</v>
      </c>
      <c r="D673" s="306">
        <f t="shared" ca="1" si="298"/>
        <v>-0.84880849112665535</v>
      </c>
      <c r="E673" s="307">
        <f t="shared" ca="1" si="299"/>
        <v>-3.4332211746057135</v>
      </c>
      <c r="F673" s="304">
        <f t="shared" ca="1" si="300"/>
        <v>3.5365920726555027</v>
      </c>
      <c r="G673" s="306">
        <f t="shared" ca="1" si="301"/>
        <v>12.638397821105221</v>
      </c>
      <c r="H673" s="307">
        <f t="shared" ca="1" si="302"/>
        <v>-95.928527569569781</v>
      </c>
      <c r="I673" s="304">
        <f t="shared" ca="1" si="303"/>
        <v>96.757488088262321</v>
      </c>
      <c r="J673" s="306">
        <f t="shared" ca="1" si="304"/>
        <v>823.8206999115248</v>
      </c>
      <c r="K673" s="307">
        <f t="shared" ca="1" si="305"/>
        <v>1390.6502339267138</v>
      </c>
      <c r="L673" s="304">
        <f t="shared" ca="1" si="290"/>
        <v>1616.3504009722453</v>
      </c>
      <c r="M673" s="306">
        <f t="shared" ca="1" si="306"/>
        <v>-1.4398026954958141</v>
      </c>
      <c r="N673" s="304">
        <f t="shared" ca="1" si="307"/>
        <v>-82.494617783469764</v>
      </c>
      <c r="P673" s="310">
        <f t="shared" ca="1" si="308"/>
        <v>23</v>
      </c>
      <c r="Q673" s="304">
        <f t="shared" ca="1" si="309"/>
        <v>0</v>
      </c>
      <c r="R673" s="306">
        <f t="shared" ca="1" si="310"/>
        <v>0</v>
      </c>
      <c r="S673" s="307">
        <f t="shared" ca="1" si="311"/>
        <v>4.9929999999999914</v>
      </c>
      <c r="T673" s="304">
        <f t="shared" ca="1" si="291"/>
        <v>48.981329999999922</v>
      </c>
      <c r="U673" s="311">
        <f t="shared" ca="1" si="292"/>
        <v>0</v>
      </c>
      <c r="V673" s="306">
        <f t="shared" ca="1" si="293"/>
        <v>1.0657204532886704</v>
      </c>
      <c r="W673" s="304">
        <f t="shared" ca="1" si="294"/>
        <v>32.370908643329578</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3.2912079528673379</v>
      </c>
      <c r="AH673" s="304">
        <f t="shared" ca="1" si="318"/>
        <v>-6.4330229319197718</v>
      </c>
    </row>
    <row r="674" spans="1:34" x14ac:dyDescent="0.2">
      <c r="A674" s="347">
        <f t="shared" ca="1" si="296"/>
        <v>0.1</v>
      </c>
      <c r="B674" s="304">
        <f t="shared" ca="1" si="297"/>
        <v>31.000000000000128</v>
      </c>
      <c r="D674" s="306">
        <f t="shared" ca="1" si="298"/>
        <v>-0.84683882424372103</v>
      </c>
      <c r="E674" s="307">
        <f t="shared" ca="1" si="299"/>
        <v>-3.3822864046273722</v>
      </c>
      <c r="F674" s="304">
        <f t="shared" ca="1" si="300"/>
        <v>3.4866885890732546</v>
      </c>
      <c r="G674" s="306">
        <f t="shared" ca="1" si="301"/>
        <v>12.553713938680849</v>
      </c>
      <c r="H674" s="307">
        <f t="shared" ca="1" si="302"/>
        <v>-96.266756210032511</v>
      </c>
      <c r="I674" s="304">
        <f t="shared" ca="1" si="303"/>
        <v>97.081842199538343</v>
      </c>
      <c r="J674" s="306">
        <f t="shared" ca="1" si="304"/>
        <v>825.08030549951411</v>
      </c>
      <c r="K674" s="307">
        <f t="shared" ca="1" si="305"/>
        <v>1381.0404697377337</v>
      </c>
      <c r="L674" s="304">
        <f t="shared" ca="1" si="290"/>
        <v>1608.7356182967392</v>
      </c>
      <c r="M674" s="306">
        <f t="shared" ca="1" si="306"/>
        <v>-1.4411225879959508</v>
      </c>
      <c r="N674" s="304">
        <f t="shared" ca="1" si="307"/>
        <v>-82.570242053138571</v>
      </c>
      <c r="P674" s="310">
        <f t="shared" ca="1" si="308"/>
        <v>23</v>
      </c>
      <c r="Q674" s="304">
        <f t="shared" ca="1" si="309"/>
        <v>0</v>
      </c>
      <c r="R674" s="306">
        <f t="shared" ca="1" si="310"/>
        <v>0</v>
      </c>
      <c r="S674" s="307">
        <f t="shared" ca="1" si="311"/>
        <v>4.9929999999999914</v>
      </c>
      <c r="T674" s="304">
        <f t="shared" ca="1" si="291"/>
        <v>48.981329999999922</v>
      </c>
      <c r="U674" s="311">
        <f t="shared" ca="1" si="292"/>
        <v>0</v>
      </c>
      <c r="V674" s="306">
        <f t="shared" ca="1" si="293"/>
        <v>1.0667500235478975</v>
      </c>
      <c r="W674" s="304">
        <f t="shared" ca="1" si="294"/>
        <v>32.619785257956103</v>
      </c>
      <c r="Y674" s="314" t="str">
        <f t="shared" ca="1" si="312"/>
        <v/>
      </c>
      <c r="Z674" s="315" t="str">
        <f t="shared" ca="1" si="313"/>
        <v/>
      </c>
      <c r="AA674" s="316" t="str">
        <f t="shared" ca="1" si="314"/>
        <v/>
      </c>
      <c r="AC674" s="310">
        <f t="shared" ca="1" si="315"/>
        <v>31.000000000000128</v>
      </c>
      <c r="AD674" s="323">
        <f t="shared" ca="1" si="316"/>
        <v>825.08030549951411</v>
      </c>
      <c r="AE674" s="324" t="e">
        <f t="shared" ca="1" si="295"/>
        <v>#N/A</v>
      </c>
      <c r="AG674" s="306">
        <f t="shared" ca="1" si="317"/>
        <v>3.2426954736270224</v>
      </c>
      <c r="AH674" s="304">
        <f t="shared" ca="1" si="318"/>
        <v>-6.4832582902723077</v>
      </c>
    </row>
    <row r="675" spans="1:34" x14ac:dyDescent="0.2">
      <c r="A675" s="347">
        <f t="shared" ca="1" si="296"/>
        <v>0.1</v>
      </c>
      <c r="B675" s="304">
        <f t="shared" ca="1" si="297"/>
        <v>31.100000000000129</v>
      </c>
      <c r="D675" s="306">
        <f t="shared" ca="1" si="298"/>
        <v>-0.84479970004054361</v>
      </c>
      <c r="E675" s="307">
        <f t="shared" ca="1" si="299"/>
        <v>-3.3317476543314122</v>
      </c>
      <c r="F675" s="304">
        <f t="shared" ca="1" si="300"/>
        <v>3.4371832894583116</v>
      </c>
      <c r="G675" s="306">
        <f t="shared" ca="1" si="301"/>
        <v>12.469233968676795</v>
      </c>
      <c r="H675" s="307">
        <f t="shared" ca="1" si="302"/>
        <v>-96.599930975465654</v>
      </c>
      <c r="I675" s="304">
        <f t="shared" ca="1" si="303"/>
        <v>97.401378122849636</v>
      </c>
      <c r="J675" s="306">
        <f t="shared" ca="1" si="304"/>
        <v>826.33145289488198</v>
      </c>
      <c r="K675" s="307">
        <f t="shared" ca="1" si="305"/>
        <v>1371.3971353784589</v>
      </c>
      <c r="L675" s="304">
        <f t="shared" ca="1" si="290"/>
        <v>1601.1101689039419</v>
      </c>
      <c r="M675" s="306">
        <f t="shared" ca="1" si="306"/>
        <v>-1.4424249695837099</v>
      </c>
      <c r="N675" s="304">
        <f t="shared" ca="1" si="307"/>
        <v>-82.644863021432712</v>
      </c>
      <c r="P675" s="310">
        <f t="shared" ca="1" si="308"/>
        <v>23</v>
      </c>
      <c r="Q675" s="304">
        <f t="shared" ca="1" si="309"/>
        <v>0</v>
      </c>
      <c r="R675" s="306">
        <f t="shared" ca="1" si="310"/>
        <v>0</v>
      </c>
      <c r="S675" s="307">
        <f t="shared" ca="1" si="311"/>
        <v>4.9929999999999914</v>
      </c>
      <c r="T675" s="304">
        <f t="shared" ca="1" si="291"/>
        <v>48.981329999999922</v>
      </c>
      <c r="U675" s="311">
        <f t="shared" ca="1" si="292"/>
        <v>0</v>
      </c>
      <c r="V675" s="306">
        <f t="shared" ca="1" si="293"/>
        <v>1.0677841212067898</v>
      </c>
      <c r="W675" s="304">
        <f t="shared" ca="1" si="294"/>
        <v>32.866698484579864</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3.1945331732132312</v>
      </c>
      <c r="AH675" s="304">
        <f t="shared" ca="1" si="318"/>
        <v>-6.5331033963461165</v>
      </c>
    </row>
    <row r="676" spans="1:34" x14ac:dyDescent="0.2">
      <c r="A676" s="347">
        <f t="shared" ca="1" si="296"/>
        <v>0.1</v>
      </c>
      <c r="B676" s="304">
        <f t="shared" ca="1" si="297"/>
        <v>31.200000000000131</v>
      </c>
      <c r="D676" s="306">
        <f t="shared" ca="1" si="298"/>
        <v>-0.84269261286498087</v>
      </c>
      <c r="E676" s="307">
        <f t="shared" ca="1" si="299"/>
        <v>-3.281607923888334</v>
      </c>
      <c r="F676" s="304">
        <f t="shared" ca="1" si="300"/>
        <v>3.3880793092700636</v>
      </c>
      <c r="G676" s="306">
        <f t="shared" ca="1" si="301"/>
        <v>12.384964707390298</v>
      </c>
      <c r="H676" s="307">
        <f t="shared" ca="1" si="302"/>
        <v>-96.928091767854482</v>
      </c>
      <c r="I676" s="304">
        <f t="shared" ca="1" si="303"/>
        <v>97.716131342582955</v>
      </c>
      <c r="J676" s="306">
        <f t="shared" ca="1" si="304"/>
        <v>827.5741628286853</v>
      </c>
      <c r="K676" s="307">
        <f t="shared" ca="1" si="305"/>
        <v>1361.7207342412928</v>
      </c>
      <c r="L676" s="304">
        <f t="shared" ca="1" si="290"/>
        <v>1593.474930158691</v>
      </c>
      <c r="M676" s="306">
        <f t="shared" ca="1" si="306"/>
        <v>-1.443710189759478</v>
      </c>
      <c r="N676" s="304">
        <f t="shared" ca="1" si="307"/>
        <v>-82.718500713249284</v>
      </c>
      <c r="P676" s="310">
        <f t="shared" ca="1" si="308"/>
        <v>23</v>
      </c>
      <c r="Q676" s="304">
        <f t="shared" ca="1" si="309"/>
        <v>0</v>
      </c>
      <c r="R676" s="306">
        <f t="shared" ca="1" si="310"/>
        <v>0</v>
      </c>
      <c r="S676" s="307">
        <f t="shared" ca="1" si="311"/>
        <v>4.9929999999999914</v>
      </c>
      <c r="T676" s="304">
        <f t="shared" ca="1" si="291"/>
        <v>48.981329999999922</v>
      </c>
      <c r="U676" s="311">
        <f t="shared" ca="1" si="292"/>
        <v>0</v>
      </c>
      <c r="V676" s="306">
        <f t="shared" ca="1" si="293"/>
        <v>1.0688227032177493</v>
      </c>
      <c r="W676" s="304">
        <f t="shared" ca="1" si="294"/>
        <v>33.111634413270188</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3.1467251643615466</v>
      </c>
      <c r="AH676" s="304">
        <f t="shared" ca="1" si="318"/>
        <v>-6.5825552743000042</v>
      </c>
    </row>
    <row r="677" spans="1:34" x14ac:dyDescent="0.2">
      <c r="A677" s="347">
        <f t="shared" ca="1" si="296"/>
        <v>0.1</v>
      </c>
      <c r="B677" s="304">
        <f t="shared" ca="1" si="297"/>
        <v>31.300000000000132</v>
      </c>
      <c r="D677" s="306">
        <f t="shared" ca="1" si="298"/>
        <v>-0.84051905014930772</v>
      </c>
      <c r="E677" s="307">
        <f t="shared" ca="1" si="299"/>
        <v>-3.2318700214068681</v>
      </c>
      <c r="F677" s="304">
        <f t="shared" ca="1" si="300"/>
        <v>3.339379599406501</v>
      </c>
      <c r="G677" s="306">
        <f t="shared" ca="1" si="301"/>
        <v>12.300912802375366</v>
      </c>
      <c r="H677" s="307">
        <f t="shared" ca="1" si="302"/>
        <v>-97.251278769995167</v>
      </c>
      <c r="I677" s="304">
        <f t="shared" ca="1" si="303"/>
        <v>98.026137729541063</v>
      </c>
      <c r="J677" s="306">
        <f t="shared" ca="1" si="304"/>
        <v>828.80845670417364</v>
      </c>
      <c r="K677" s="307">
        <f t="shared" ca="1" si="305"/>
        <v>1352.0117657144003</v>
      </c>
      <c r="L677" s="304">
        <f t="shared" ca="1" si="290"/>
        <v>1585.8307830706669</v>
      </c>
      <c r="M677" s="306">
        <f t="shared" ca="1" si="306"/>
        <v>-1.4449785883214954</v>
      </c>
      <c r="N677" s="304">
        <f t="shared" ca="1" si="307"/>
        <v>-82.791174597593354</v>
      </c>
      <c r="P677" s="310">
        <f t="shared" ca="1" si="308"/>
        <v>23</v>
      </c>
      <c r="Q677" s="304">
        <f t="shared" ca="1" si="309"/>
        <v>0</v>
      </c>
      <c r="R677" s="306">
        <f t="shared" ca="1" si="310"/>
        <v>0</v>
      </c>
      <c r="S677" s="307">
        <f t="shared" ca="1" si="311"/>
        <v>4.9929999999999914</v>
      </c>
      <c r="T677" s="304">
        <f t="shared" ca="1" si="291"/>
        <v>48.981329999999922</v>
      </c>
      <c r="U677" s="311">
        <f t="shared" ca="1" si="292"/>
        <v>0</v>
      </c>
      <c r="V677" s="306">
        <f t="shared" ca="1" si="293"/>
        <v>1.0698657268295837</v>
      </c>
      <c r="W677" s="304">
        <f t="shared" ca="1" si="294"/>
        <v>33.354580065959887</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3.0992753303234615</v>
      </c>
      <c r="AH677" s="304">
        <f t="shared" ca="1" si="318"/>
        <v>-6.631611138247596</v>
      </c>
    </row>
    <row r="678" spans="1:34" x14ac:dyDescent="0.2">
      <c r="A678" s="347">
        <f t="shared" ca="1" si="296"/>
        <v>0.1</v>
      </c>
      <c r="B678" s="304">
        <f t="shared" ca="1" si="297"/>
        <v>31.400000000000134</v>
      </c>
      <c r="D678" s="306">
        <f t="shared" ca="1" si="298"/>
        <v>-0.8382804918367065</v>
      </c>
      <c r="E678" s="307">
        <f t="shared" ca="1" si="299"/>
        <v>-3.182536566284937</v>
      </c>
      <c r="F678" s="304">
        <f t="shared" ca="1" si="300"/>
        <v>3.2910869296836731</v>
      </c>
      <c r="G678" s="306">
        <f t="shared" ca="1" si="301"/>
        <v>12.217084753191696</v>
      </c>
      <c r="H678" s="307">
        <f t="shared" ca="1" si="302"/>
        <v>-97.569532426623667</v>
      </c>
      <c r="I678" s="304">
        <f t="shared" ca="1" si="303"/>
        <v>98.331433518568403</v>
      </c>
      <c r="J678" s="306">
        <f t="shared" ca="1" si="304"/>
        <v>830.03435658195201</v>
      </c>
      <c r="K678" s="307">
        <f t="shared" ca="1" si="305"/>
        <v>1342.2707251545694</v>
      </c>
      <c r="L678" s="304">
        <f t="shared" ca="1" si="290"/>
        <v>1578.1786124242681</v>
      </c>
      <c r="M678" s="306">
        <f t="shared" ca="1" si="306"/>
        <v>-1.4462304956986178</v>
      </c>
      <c r="N678" s="304">
        <f t="shared" ca="1" si="307"/>
        <v>-82.862903606643755</v>
      </c>
      <c r="P678" s="310">
        <f t="shared" ca="1" si="308"/>
        <v>23</v>
      </c>
      <c r="Q678" s="304">
        <f t="shared" ca="1" si="309"/>
        <v>0</v>
      </c>
      <c r="R678" s="306">
        <f t="shared" ca="1" si="310"/>
        <v>0</v>
      </c>
      <c r="S678" s="307">
        <f t="shared" ca="1" si="311"/>
        <v>4.9929999999999914</v>
      </c>
      <c r="T678" s="304">
        <f t="shared" ca="1" si="291"/>
        <v>48.981329999999922</v>
      </c>
      <c r="U678" s="311">
        <f t="shared" ca="1" si="292"/>
        <v>0</v>
      </c>
      <c r="V678" s="306">
        <f t="shared" ca="1" si="293"/>
        <v>1.0709131495903712</v>
      </c>
      <c r="W678" s="304">
        <f t="shared" ca="1" si="294"/>
        <v>33.595523379721705</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3.0521873298217175</v>
      </c>
      <c r="AH678" s="304">
        <f t="shared" ca="1" si="318"/>
        <v>-6.6802683889364998</v>
      </c>
    </row>
    <row r="679" spans="1:34" x14ac:dyDescent="0.2">
      <c r="A679" s="347">
        <f t="shared" ca="1" si="296"/>
        <v>0.1</v>
      </c>
      <c r="B679" s="304">
        <f t="shared" ca="1" si="297"/>
        <v>31.500000000000135</v>
      </c>
      <c r="D679" s="306">
        <f t="shared" ca="1" si="298"/>
        <v>-0.8359784098302292</v>
      </c>
      <c r="E679" s="307">
        <f t="shared" ca="1" si="299"/>
        <v>-3.1336099925901921</v>
      </c>
      <c r="F679" s="304">
        <f t="shared" ca="1" si="300"/>
        <v>3.243203892351417</v>
      </c>
      <c r="G679" s="306">
        <f t="shared" ca="1" si="301"/>
        <v>12.133486912208673</v>
      </c>
      <c r="H679" s="307">
        <f t="shared" ca="1" si="302"/>
        <v>-97.882893425882685</v>
      </c>
      <c r="I679" s="304">
        <f t="shared" ca="1" si="303"/>
        <v>98.632055286663515</v>
      </c>
      <c r="J679" s="306">
        <f t="shared" ca="1" si="304"/>
        <v>831.25188516522201</v>
      </c>
      <c r="K679" s="307">
        <f t="shared" ca="1" si="305"/>
        <v>1332.4981038619442</v>
      </c>
      <c r="L679" s="304">
        <f t="shared" ca="1" si="290"/>
        <v>1570.5193069129753</v>
      </c>
      <c r="M679" s="306">
        <f t="shared" ca="1" si="306"/>
        <v>-1.4474662332696882</v>
      </c>
      <c r="N679" s="304">
        <f t="shared" ca="1" si="307"/>
        <v>-82.933706154051833</v>
      </c>
      <c r="P679" s="310">
        <f t="shared" ca="1" si="308"/>
        <v>23</v>
      </c>
      <c r="Q679" s="304">
        <f t="shared" ca="1" si="309"/>
        <v>0</v>
      </c>
      <c r="R679" s="306">
        <f t="shared" ca="1" si="310"/>
        <v>0</v>
      </c>
      <c r="S679" s="307">
        <f t="shared" ca="1" si="311"/>
        <v>4.9929999999999914</v>
      </c>
      <c r="T679" s="304">
        <f t="shared" ca="1" si="291"/>
        <v>48.981329999999922</v>
      </c>
      <c r="U679" s="311">
        <f t="shared" ca="1" si="292"/>
        <v>0</v>
      </c>
      <c r="V679" s="306">
        <f t="shared" ca="1" si="293"/>
        <v>1.0719649293501754</v>
      </c>
      <c r="W679" s="304">
        <f t="shared" ca="1" si="294"/>
        <v>33.834453189920296</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3.0054646019564002</v>
      </c>
      <c r="AH679" s="304">
        <f t="shared" ca="1" si="318"/>
        <v>-6.7285246103989111</v>
      </c>
    </row>
    <row r="680" spans="1:34" x14ac:dyDescent="0.2">
      <c r="A680" s="347">
        <f t="shared" ca="1" si="296"/>
        <v>0.1</v>
      </c>
      <c r="B680" s="304">
        <f t="shared" ca="1" si="297"/>
        <v>31.600000000000136</v>
      </c>
      <c r="D680" s="306">
        <f t="shared" ca="1" si="298"/>
        <v>-0.83361426746388945</v>
      </c>
      <c r="E680" s="307">
        <f t="shared" ca="1" si="299"/>
        <v>-3.0850925524664321</v>
      </c>
      <c r="F680" s="304">
        <f t="shared" ca="1" si="300"/>
        <v>3.1957329056420223</v>
      </c>
      <c r="G680" s="306">
        <f t="shared" ca="1" si="301"/>
        <v>12.050125485462283</v>
      </c>
      <c r="H680" s="307">
        <f t="shared" ca="1" si="302"/>
        <v>-98.191402681129333</v>
      </c>
      <c r="I680" s="304">
        <f t="shared" ca="1" si="303"/>
        <v>98.928039931573906</v>
      </c>
      <c r="J680" s="306">
        <f t="shared" ca="1" si="304"/>
        <v>832.46106578510557</v>
      </c>
      <c r="K680" s="307">
        <f t="shared" ca="1" si="305"/>
        <v>1322.6943890565935</v>
      </c>
      <c r="L680" s="304">
        <f t="shared" ca="1" si="290"/>
        <v>1562.8537592781574</v>
      </c>
      <c r="M680" s="306">
        <f t="shared" ca="1" si="306"/>
        <v>-1.4486861136701334</v>
      </c>
      <c r="N680" s="304">
        <f t="shared" ca="1" si="307"/>
        <v>-83.003600152508085</v>
      </c>
      <c r="P680" s="310">
        <f t="shared" ca="1" si="308"/>
        <v>23</v>
      </c>
      <c r="Q680" s="304">
        <f t="shared" ca="1" si="309"/>
        <v>0</v>
      </c>
      <c r="R680" s="306">
        <f t="shared" ca="1" si="310"/>
        <v>0</v>
      </c>
      <c r="S680" s="307">
        <f t="shared" ca="1" si="311"/>
        <v>4.9929999999999914</v>
      </c>
      <c r="T680" s="304">
        <f t="shared" ca="1" si="291"/>
        <v>48.981329999999922</v>
      </c>
      <c r="U680" s="311">
        <f t="shared" ca="1" si="292"/>
        <v>0</v>
      </c>
      <c r="V680" s="306">
        <f t="shared" ca="1" si="293"/>
        <v>1.0730210242636211</v>
      </c>
      <c r="W680" s="304">
        <f t="shared" ca="1" si="294"/>
        <v>34.071359213258987</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2.9591103710622644</v>
      </c>
      <c r="AH680" s="304">
        <f t="shared" ca="1" si="318"/>
        <v>-6.7763775665772794</v>
      </c>
    </row>
    <row r="681" spans="1:34" x14ac:dyDescent="0.2">
      <c r="A681" s="347">
        <f t="shared" ca="1" si="296"/>
        <v>0.1</v>
      </c>
      <c r="B681" s="304">
        <f t="shared" ca="1" si="297"/>
        <v>31.700000000000138</v>
      </c>
      <c r="D681" s="306">
        <f t="shared" ca="1" si="298"/>
        <v>-0.83118951899560378</v>
      </c>
      <c r="E681" s="307">
        <f t="shared" ca="1" si="299"/>
        <v>-3.0369863195619216</v>
      </c>
      <c r="F681" s="304">
        <f t="shared" ca="1" si="300"/>
        <v>3.1486762173482381</v>
      </c>
      <c r="G681" s="306">
        <f t="shared" ca="1" si="301"/>
        <v>11.967006533562722</v>
      </c>
      <c r="H681" s="307">
        <f t="shared" ca="1" si="302"/>
        <v>-98.495101313085527</v>
      </c>
      <c r="I681" s="304">
        <f t="shared" ca="1" si="303"/>
        <v>99.21942465086822</v>
      </c>
      <c r="J681" s="306">
        <f t="shared" ca="1" si="304"/>
        <v>833.66192238605686</v>
      </c>
      <c r="K681" s="307">
        <f t="shared" ca="1" si="305"/>
        <v>1312.8600638568828</v>
      </c>
      <c r="L681" s="304">
        <f t="shared" ca="1" si="290"/>
        <v>1555.182866452275</v>
      </c>
      <c r="M681" s="306">
        <f t="shared" ca="1" si="306"/>
        <v>-1.4498904410863773</v>
      </c>
      <c r="N681" s="304">
        <f t="shared" ca="1" si="307"/>
        <v>-83.07260303061075</v>
      </c>
      <c r="P681" s="310">
        <f t="shared" ca="1" si="308"/>
        <v>23</v>
      </c>
      <c r="Q681" s="304">
        <f t="shared" ca="1" si="309"/>
        <v>0</v>
      </c>
      <c r="R681" s="306">
        <f t="shared" ca="1" si="310"/>
        <v>0</v>
      </c>
      <c r="S681" s="307">
        <f t="shared" ca="1" si="311"/>
        <v>4.9929999999999914</v>
      </c>
      <c r="T681" s="304">
        <f t="shared" ca="1" si="291"/>
        <v>48.981329999999922</v>
      </c>
      <c r="U681" s="311">
        <f t="shared" ca="1" si="292"/>
        <v>0</v>
      </c>
      <c r="V681" s="306">
        <f t="shared" ca="1" si="293"/>
        <v>1.074081392792325</v>
      </c>
      <c r="W681" s="304">
        <f t="shared" ca="1" si="294"/>
        <v>34.306232030738265</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2.9131276515174216</v>
      </c>
      <c r="AH681" s="304">
        <f t="shared" ca="1" si="318"/>
        <v>-6.8238251979289091</v>
      </c>
    </row>
    <row r="682" spans="1:34" x14ac:dyDescent="0.2">
      <c r="A682" s="347">
        <f t="shared" ca="1" si="296"/>
        <v>0.1</v>
      </c>
      <c r="B682" s="304">
        <f t="shared" ca="1" si="297"/>
        <v>31.800000000000139</v>
      </c>
      <c r="D682" s="306">
        <f t="shared" ca="1" si="298"/>
        <v>-0.8287056091215923</v>
      </c>
      <c r="E682" s="307">
        <f t="shared" ca="1" si="299"/>
        <v>-2.9892931924761674</v>
      </c>
      <c r="F682" s="304">
        <f t="shared" ca="1" si="300"/>
        <v>3.1020359084275517</v>
      </c>
      <c r="G682" s="306">
        <f t="shared" ca="1" si="301"/>
        <v>11.884135972650563</v>
      </c>
      <c r="H682" s="307">
        <f t="shared" ca="1" si="302"/>
        <v>-98.794030632333147</v>
      </c>
      <c r="I682" s="304">
        <f t="shared" ca="1" si="303"/>
        <v>99.506246921481406</v>
      </c>
      <c r="J682" s="306">
        <f t="shared" ca="1" si="304"/>
        <v>834.85447951136757</v>
      </c>
      <c r="K682" s="307">
        <f t="shared" ca="1" si="305"/>
        <v>1302.9956072596119</v>
      </c>
      <c r="L682" s="304">
        <f t="shared" ca="1" si="290"/>
        <v>1547.5075297064118</v>
      </c>
      <c r="M682" s="306">
        <f t="shared" ca="1" si="306"/>
        <v>-1.4510795115386195</v>
      </c>
      <c r="N682" s="304">
        <f t="shared" ca="1" si="307"/>
        <v>-83.140731749067939</v>
      </c>
      <c r="P682" s="310">
        <f t="shared" ca="1" si="308"/>
        <v>23</v>
      </c>
      <c r="Q682" s="304">
        <f t="shared" ca="1" si="309"/>
        <v>0</v>
      </c>
      <c r="R682" s="306">
        <f t="shared" ca="1" si="310"/>
        <v>0</v>
      </c>
      <c r="S682" s="307">
        <f t="shared" ca="1" si="311"/>
        <v>4.9929999999999914</v>
      </c>
      <c r="T682" s="304">
        <f t="shared" ca="1" si="291"/>
        <v>48.981329999999922</v>
      </c>
      <c r="U682" s="311">
        <f t="shared" ca="1" si="292"/>
        <v>0</v>
      </c>
      <c r="V682" s="306">
        <f t="shared" ca="1" si="293"/>
        <v>1.0751459937071872</v>
      </c>
      <c r="W682" s="304">
        <f t="shared" ca="1" si="294"/>
        <v>34.53906307054379</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2.8675192525036381</v>
      </c>
      <c r="AH682" s="304">
        <f t="shared" ca="1" si="318"/>
        <v>-6.8708656180128829</v>
      </c>
    </row>
    <row r="683" spans="1:34" x14ac:dyDescent="0.2">
      <c r="A683" s="347">
        <f t="shared" ca="1" si="296"/>
        <v>0.1</v>
      </c>
      <c r="B683" s="304">
        <f t="shared" ca="1" si="297"/>
        <v>31.900000000000141</v>
      </c>
      <c r="D683" s="306">
        <f t="shared" ca="1" si="298"/>
        <v>-0.82616397251193174</v>
      </c>
      <c r="E683" s="307">
        <f t="shared" ca="1" si="299"/>
        <v>-2.9420148982215109</v>
      </c>
      <c r="F683" s="304">
        <f t="shared" ca="1" si="300"/>
        <v>3.055813896629509</v>
      </c>
      <c r="G683" s="306">
        <f t="shared" ca="1" si="301"/>
        <v>11.80151957539937</v>
      </c>
      <c r="H683" s="307">
        <f t="shared" ca="1" si="302"/>
        <v>-99.088232122155304</v>
      </c>
      <c r="I683" s="304">
        <f t="shared" ca="1" si="303"/>
        <v>99.78854447972806</v>
      </c>
      <c r="J683" s="306">
        <f t="shared" ca="1" si="304"/>
        <v>836.03876228877004</v>
      </c>
      <c r="K683" s="307">
        <f t="shared" ca="1" si="305"/>
        <v>1293.1014941218875</v>
      </c>
      <c r="L683" s="304">
        <f t="shared" ca="1" si="290"/>
        <v>1539.8286548020844</v>
      </c>
      <c r="M683" s="306">
        <f t="shared" ca="1" si="306"/>
        <v>-1.4522536131525083</v>
      </c>
      <c r="N683" s="304">
        <f t="shared" ca="1" si="307"/>
        <v>-83.208002816263274</v>
      </c>
      <c r="P683" s="310">
        <f t="shared" ca="1" si="308"/>
        <v>23</v>
      </c>
      <c r="Q683" s="304">
        <f t="shared" ca="1" si="309"/>
        <v>0</v>
      </c>
      <c r="R683" s="306">
        <f t="shared" ca="1" si="310"/>
        <v>0</v>
      </c>
      <c r="S683" s="307">
        <f t="shared" ca="1" si="311"/>
        <v>4.9929999999999914</v>
      </c>
      <c r="T683" s="304">
        <f t="shared" ca="1" si="291"/>
        <v>48.981329999999922</v>
      </c>
      <c r="U683" s="311">
        <f t="shared" ca="1" si="292"/>
        <v>0</v>
      </c>
      <c r="V683" s="306">
        <f t="shared" ca="1" si="293"/>
        <v>1.0762147860905467</v>
      </c>
      <c r="W683" s="304">
        <f t="shared" ca="1" si="294"/>
        <v>34.769844590880396</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2.8222877827182202</v>
      </c>
      <c r="AH683" s="304">
        <f t="shared" ca="1" si="318"/>
        <v>-6.9174971100628575</v>
      </c>
    </row>
    <row r="684" spans="1:34" x14ac:dyDescent="0.2">
      <c r="A684" s="347">
        <f t="shared" ca="1" si="296"/>
        <v>0.1</v>
      </c>
      <c r="B684" s="304">
        <f t="shared" ca="1" si="297"/>
        <v>32.000000000000142</v>
      </c>
      <c r="D684" s="306">
        <f t="shared" ca="1" si="298"/>
        <v>-0.82356603336691536</v>
      </c>
      <c r="E684" s="307">
        <f t="shared" ca="1" si="299"/>
        <v>-2.8951529956961508</v>
      </c>
      <c r="F684" s="304">
        <f t="shared" ca="1" si="300"/>
        <v>3.0100119401431136</v>
      </c>
      <c r="G684" s="306">
        <f t="shared" ca="1" si="301"/>
        <v>11.719162972062678</v>
      </c>
      <c r="H684" s="307">
        <f t="shared" ca="1" si="302"/>
        <v>-99.377747421724919</v>
      </c>
      <c r="I684" s="304">
        <f t="shared" ca="1" si="303"/>
        <v>100.06635530177923</v>
      </c>
      <c r="J684" s="306">
        <f t="shared" ca="1" si="304"/>
        <v>837.21479641614314</v>
      </c>
      <c r="K684" s="307">
        <f t="shared" ca="1" si="305"/>
        <v>1283.1781951446935</v>
      </c>
      <c r="L684" s="304">
        <f t="shared" ca="1" si="290"/>
        <v>1532.1471521472463</v>
      </c>
      <c r="M684" s="306">
        <f t="shared" ca="1" si="306"/>
        <v>-1.4534130264202125</v>
      </c>
      <c r="N684" s="304">
        <f t="shared" ca="1" si="307"/>
        <v>-83.274432303214184</v>
      </c>
      <c r="P684" s="310">
        <f t="shared" ca="1" si="308"/>
        <v>23</v>
      </c>
      <c r="Q684" s="304">
        <f t="shared" ca="1" si="309"/>
        <v>0</v>
      </c>
      <c r="R684" s="306">
        <f t="shared" ca="1" si="310"/>
        <v>0</v>
      </c>
      <c r="S684" s="307">
        <f t="shared" ca="1" si="311"/>
        <v>4.9929999999999914</v>
      </c>
      <c r="T684" s="304">
        <f t="shared" ca="1" si="291"/>
        <v>48.981329999999922</v>
      </c>
      <c r="U684" s="311">
        <f t="shared" ca="1" si="292"/>
        <v>0</v>
      </c>
      <c r="V684" s="306">
        <f t="shared" ca="1" si="293"/>
        <v>1.0772877293382017</v>
      </c>
      <c r="W684" s="304">
        <f t="shared" ca="1" si="294"/>
        <v>34.998569662768361</v>
      </c>
      <c r="Y684" s="314" t="str">
        <f t="shared" ca="1" si="312"/>
        <v/>
      </c>
      <c r="Z684" s="315" t="str">
        <f t="shared" ca="1" si="313"/>
        <v/>
      </c>
      <c r="AA684" s="316" t="str">
        <f t="shared" ca="1" si="314"/>
        <v/>
      </c>
      <c r="AC684" s="310">
        <f t="shared" ca="1" si="315"/>
        <v>32.000000000000142</v>
      </c>
      <c r="AD684" s="323">
        <f t="shared" ca="1" si="316"/>
        <v>837.21479641614314</v>
      </c>
      <c r="AE684" s="324" t="e">
        <f t="shared" ca="1" si="295"/>
        <v>#N/A</v>
      </c>
      <c r="AG684" s="306">
        <f t="shared" ca="1" si="317"/>
        <v>2.7774356550373769</v>
      </c>
      <c r="AH684" s="304">
        <f t="shared" ca="1" si="318"/>
        <v>-6.9637181235490599</v>
      </c>
    </row>
    <row r="685" spans="1:34" x14ac:dyDescent="0.2">
      <c r="A685" s="347">
        <f t="shared" ca="1" si="296"/>
        <v>0.1</v>
      </c>
      <c r="B685" s="304">
        <f t="shared" ca="1" si="297"/>
        <v>32.100000000000144</v>
      </c>
      <c r="D685" s="306">
        <f t="shared" ca="1" si="298"/>
        <v>-0.82091320499382459</v>
      </c>
      <c r="E685" s="307">
        <f t="shared" ca="1" si="299"/>
        <v>-2.8487088791652795</v>
      </c>
      <c r="F685" s="304">
        <f t="shared" ca="1" si="300"/>
        <v>2.9646316412614127</v>
      </c>
      <c r="G685" s="306">
        <f t="shared" ca="1" si="301"/>
        <v>11.637071651563296</v>
      </c>
      <c r="H685" s="307">
        <f t="shared" ca="1" si="302"/>
        <v>-99.662618309641445</v>
      </c>
      <c r="I685" s="304">
        <f t="shared" ca="1" si="303"/>
        <v>100.33971758459805</v>
      </c>
      <c r="J685" s="306">
        <f t="shared" ca="1" si="304"/>
        <v>838.38260814732439</v>
      </c>
      <c r="K685" s="307">
        <f t="shared" ca="1" si="305"/>
        <v>1273.2261768581252</v>
      </c>
      <c r="L685" s="304">
        <f t="shared" ca="1" si="290"/>
        <v>1524.46393695642</v>
      </c>
      <c r="M685" s="306">
        <f t="shared" ca="1" si="306"/>
        <v>-1.4545580244513585</v>
      </c>
      <c r="N685" s="304">
        <f t="shared" ca="1" si="307"/>
        <v>-83.340035857949644</v>
      </c>
      <c r="P685" s="310">
        <f t="shared" ca="1" si="308"/>
        <v>23</v>
      </c>
      <c r="Q685" s="304">
        <f t="shared" ca="1" si="309"/>
        <v>0</v>
      </c>
      <c r="R685" s="306">
        <f t="shared" ca="1" si="310"/>
        <v>0</v>
      </c>
      <c r="S685" s="307">
        <f t="shared" ca="1" si="311"/>
        <v>4.9929999999999914</v>
      </c>
      <c r="T685" s="304">
        <f t="shared" ca="1" si="291"/>
        <v>48.981329999999922</v>
      </c>
      <c r="U685" s="311">
        <f t="shared" ca="1" si="292"/>
        <v>0</v>
      </c>
      <c r="V685" s="306">
        <f t="shared" ca="1" si="293"/>
        <v>1.078364783161295</v>
      </c>
      <c r="W685" s="304">
        <f t="shared" ca="1" si="294"/>
        <v>35.225232152817377</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2.7329650911309722</v>
      </c>
      <c r="AH685" s="304">
        <f t="shared" ca="1" si="318"/>
        <v>-7.0095272707327103</v>
      </c>
    </row>
    <row r="686" spans="1:34" x14ac:dyDescent="0.2">
      <c r="A686" s="347">
        <f t="shared" ca="1" si="296"/>
        <v>0.1</v>
      </c>
      <c r="B686" s="304">
        <f t="shared" ca="1" si="297"/>
        <v>32.200000000000145</v>
      </c>
      <c r="D686" s="306">
        <f t="shared" ca="1" si="298"/>
        <v>-0.81820688940379827</v>
      </c>
      <c r="E686" s="307">
        <f t="shared" ca="1" si="299"/>
        <v>-2.8026837817471737</v>
      </c>
      <c r="F686" s="304">
        <f t="shared" ca="1" si="300"/>
        <v>2.9196744500605676</v>
      </c>
      <c r="G686" s="306">
        <f t="shared" ca="1" si="301"/>
        <v>11.555250962622917</v>
      </c>
      <c r="H686" s="307">
        <f t="shared" ca="1" si="302"/>
        <v>-99.942886687816156</v>
      </c>
      <c r="I686" s="304">
        <f t="shared" ca="1" si="303"/>
        <v>100.60866972732946</v>
      </c>
      <c r="J686" s="306">
        <f t="shared" ca="1" si="304"/>
        <v>839.5422242780337</v>
      </c>
      <c r="K686" s="307">
        <f t="shared" ca="1" si="305"/>
        <v>1263.2459016082523</v>
      </c>
      <c r="L686" s="304">
        <f t="shared" ca="1" si="290"/>
        <v>1516.7799294148624</v>
      </c>
      <c r="M686" s="306">
        <f t="shared" ca="1" si="306"/>
        <v>-1.4556888732142912</v>
      </c>
      <c r="N686" s="304">
        <f t="shared" ca="1" si="307"/>
        <v>-83.404828719333281</v>
      </c>
      <c r="P686" s="310">
        <f t="shared" ca="1" si="308"/>
        <v>23</v>
      </c>
      <c r="Q686" s="304">
        <f t="shared" ca="1" si="309"/>
        <v>0</v>
      </c>
      <c r="R686" s="306">
        <f t="shared" ca="1" si="310"/>
        <v>0</v>
      </c>
      <c r="S686" s="307">
        <f t="shared" ca="1" si="311"/>
        <v>4.9929999999999914</v>
      </c>
      <c r="T686" s="304">
        <f t="shared" ca="1" si="291"/>
        <v>48.981329999999922</v>
      </c>
      <c r="U686" s="311">
        <f t="shared" ca="1" si="292"/>
        <v>0</v>
      </c>
      <c r="V686" s="306">
        <f t="shared" ca="1" si="293"/>
        <v>1.0794459075880727</v>
      </c>
      <c r="W686" s="304">
        <f t="shared" ca="1" si="294"/>
        <v>35.44982670599363</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2.6888781260284329</v>
      </c>
      <c r="AH686" s="304">
        <f t="shared" ca="1" si="318"/>
        <v>-7.0549233232159896</v>
      </c>
    </row>
    <row r="687" spans="1:34" x14ac:dyDescent="0.2">
      <c r="A687" s="347">
        <f t="shared" ca="1" si="296"/>
        <v>0.1</v>
      </c>
      <c r="B687" s="304">
        <f t="shared" ca="1" si="297"/>
        <v>32.300000000000146</v>
      </c>
      <c r="D687" s="306">
        <f t="shared" ca="1" si="298"/>
        <v>-0.81544847692839606</v>
      </c>
      <c r="E687" s="307">
        <f t="shared" ca="1" si="299"/>
        <v>-2.7570787789010813</v>
      </c>
      <c r="F687" s="304">
        <f t="shared" ca="1" si="300"/>
        <v>2.8751416680907256</v>
      </c>
      <c r="G687" s="306">
        <f t="shared" ca="1" si="301"/>
        <v>11.473706114930078</v>
      </c>
      <c r="H687" s="307">
        <f t="shared" ca="1" si="302"/>
        <v>-100.21859456570627</v>
      </c>
      <c r="I687" s="304">
        <f t="shared" ca="1" si="303"/>
        <v>100.87325031313898</v>
      </c>
      <c r="J687" s="306">
        <f t="shared" ca="1" si="304"/>
        <v>840.6936721319114</v>
      </c>
      <c r="K687" s="307">
        <f t="shared" ca="1" si="305"/>
        <v>1253.2378275455762</v>
      </c>
      <c r="L687" s="304">
        <f t="shared" ca="1" si="290"/>
        <v>1509.0960548466733</v>
      </c>
      <c r="M687" s="306">
        <f t="shared" ca="1" si="306"/>
        <v>-1.4568058317680825</v>
      </c>
      <c r="N687" s="304">
        <f t="shared" ca="1" si="307"/>
        <v>-83.468825730356556</v>
      </c>
      <c r="P687" s="310">
        <f t="shared" ca="1" si="308"/>
        <v>23</v>
      </c>
      <c r="Q687" s="304">
        <f t="shared" ca="1" si="309"/>
        <v>0</v>
      </c>
      <c r="R687" s="306">
        <f t="shared" ca="1" si="310"/>
        <v>0</v>
      </c>
      <c r="S687" s="307">
        <f t="shared" ca="1" si="311"/>
        <v>4.9929999999999914</v>
      </c>
      <c r="T687" s="304">
        <f t="shared" ca="1" si="291"/>
        <v>48.981329999999922</v>
      </c>
      <c r="U687" s="311">
        <f t="shared" ca="1" si="292"/>
        <v>0</v>
      </c>
      <c r="V687" s="306">
        <f t="shared" ca="1" si="293"/>
        <v>1.0805310629655127</v>
      </c>
      <c r="W687" s="304">
        <f t="shared" ca="1" si="294"/>
        <v>35.672348728394169</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2.6451766126354617</v>
      </c>
      <c r="AH687" s="304">
        <f t="shared" ca="1" si="318"/>
        <v>-7.0999052084906253</v>
      </c>
    </row>
    <row r="688" spans="1:34" x14ac:dyDescent="0.2">
      <c r="A688" s="347">
        <f t="shared" ca="1" si="296"/>
        <v>0.1</v>
      </c>
      <c r="B688" s="304">
        <f t="shared" ca="1" si="297"/>
        <v>32.400000000000148</v>
      </c>
      <c r="D688" s="306">
        <f t="shared" ca="1" si="298"/>
        <v>-0.81263934585549924</v>
      </c>
      <c r="E688" s="307">
        <f t="shared" ca="1" si="299"/>
        <v>-2.7118947919140286</v>
      </c>
      <c r="F688" s="304">
        <f t="shared" ca="1" si="300"/>
        <v>2.8310344520762873</v>
      </c>
      <c r="G688" s="306">
        <f t="shared" ca="1" si="301"/>
        <v>11.392442180344528</v>
      </c>
      <c r="H688" s="307">
        <f t="shared" ca="1" si="302"/>
        <v>-100.48978404489768</v>
      </c>
      <c r="I688" s="304">
        <f t="shared" ca="1" si="303"/>
        <v>101.13349809149619</v>
      </c>
      <c r="J688" s="306">
        <f t="shared" ca="1" si="304"/>
        <v>841.83697954667514</v>
      </c>
      <c r="K688" s="307">
        <f t="shared" ca="1" si="305"/>
        <v>1243.2024086150461</v>
      </c>
      <c r="L688" s="304">
        <f t="shared" ca="1" si="290"/>
        <v>1501.4132438867459</v>
      </c>
      <c r="M688" s="306">
        <f t="shared" ca="1" si="306"/>
        <v>-1.4579091524856953</v>
      </c>
      <c r="N688" s="304">
        <f t="shared" ca="1" si="307"/>
        <v>-83.532041350925113</v>
      </c>
      <c r="P688" s="310">
        <f t="shared" ca="1" si="308"/>
        <v>23</v>
      </c>
      <c r="Q688" s="304">
        <f t="shared" ca="1" si="309"/>
        <v>0</v>
      </c>
      <c r="R688" s="306">
        <f t="shared" ca="1" si="310"/>
        <v>0</v>
      </c>
      <c r="S688" s="307">
        <f t="shared" ca="1" si="311"/>
        <v>4.9929999999999914</v>
      </c>
      <c r="T688" s="304">
        <f t="shared" ca="1" si="291"/>
        <v>48.981329999999922</v>
      </c>
      <c r="U688" s="311">
        <f t="shared" ca="1" si="292"/>
        <v>0</v>
      </c>
      <c r="V688" s="306">
        <f t="shared" ca="1" si="293"/>
        <v>1.0816202099608281</v>
      </c>
      <c r="W688" s="304">
        <f t="shared" ca="1" si="294"/>
        <v>35.892794370042822</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2.6018622262013267</v>
      </c>
      <c r="AH688" s="304">
        <f t="shared" ca="1" si="318"/>
        <v>-7.1444720064879288</v>
      </c>
    </row>
    <row r="689" spans="1:34" x14ac:dyDescent="0.2">
      <c r="A689" s="347">
        <f t="shared" ca="1" si="296"/>
        <v>0.1</v>
      </c>
      <c r="B689" s="304">
        <f t="shared" ca="1" si="297"/>
        <v>32.500000000000149</v>
      </c>
      <c r="D689" s="306">
        <f t="shared" ca="1" si="298"/>
        <v>-0.80978086208417488</v>
      </c>
      <c r="E689" s="307">
        <f t="shared" ca="1" si="299"/>
        <v>-2.6671325913835942</v>
      </c>
      <c r="F689" s="304">
        <f t="shared" ca="1" si="300"/>
        <v>2.7873538176231514</v>
      </c>
      <c r="G689" s="306">
        <f t="shared" ca="1" si="301"/>
        <v>11.31146409413611</v>
      </c>
      <c r="H689" s="307">
        <f t="shared" ca="1" si="302"/>
        <v>-100.75649730403603</v>
      </c>
      <c r="I689" s="304">
        <f t="shared" ca="1" si="303"/>
        <v>101.38945196089755</v>
      </c>
      <c r="J689" s="306">
        <f t="shared" ca="1" si="304"/>
        <v>842.97217486039915</v>
      </c>
      <c r="K689" s="307">
        <f t="shared" ca="1" si="305"/>
        <v>1233.1400945475993</v>
      </c>
      <c r="L689" s="304">
        <f t="shared" ca="1" si="290"/>
        <v>1493.7324326564424</v>
      </c>
      <c r="M689" s="306">
        <f t="shared" ca="1" si="306"/>
        <v>-1.458999081268691</v>
      </c>
      <c r="N689" s="304">
        <f t="shared" ca="1" si="307"/>
        <v>-83.594489670160598</v>
      </c>
      <c r="P689" s="310">
        <f t="shared" ca="1" si="308"/>
        <v>23</v>
      </c>
      <c r="Q689" s="304">
        <f t="shared" ca="1" si="309"/>
        <v>0</v>
      </c>
      <c r="R689" s="306">
        <f t="shared" ca="1" si="310"/>
        <v>0</v>
      </c>
      <c r="S689" s="307">
        <f t="shared" ca="1" si="311"/>
        <v>4.9929999999999914</v>
      </c>
      <c r="T689" s="304">
        <f t="shared" ca="1" si="291"/>
        <v>48.981329999999922</v>
      </c>
      <c r="U689" s="311">
        <f t="shared" ca="1" si="292"/>
        <v>0</v>
      </c>
      <c r="V689" s="306">
        <f t="shared" ca="1" si="293"/>
        <v>1.0827133095628461</v>
      </c>
      <c r="W689" s="304">
        <f t="shared" ca="1" si="294"/>
        <v>36.111160507720989</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2.558936468736297</v>
      </c>
      <c r="AH689" s="304">
        <f t="shared" ca="1" si="318"/>
        <v>-7.1886229461331634</v>
      </c>
    </row>
    <row r="690" spans="1:34" x14ac:dyDescent="0.2">
      <c r="A690" s="347">
        <f t="shared" ca="1" si="296"/>
        <v>0.1</v>
      </c>
      <c r="B690" s="304">
        <f t="shared" ca="1" si="297"/>
        <v>32.600000000000151</v>
      </c>
      <c r="D690" s="306">
        <f t="shared" ca="1" si="298"/>
        <v>-0.80687437879810253</v>
      </c>
      <c r="E690" s="307">
        <f t="shared" ca="1" si="299"/>
        <v>-2.622792800693972</v>
      </c>
      <c r="F690" s="304">
        <f t="shared" ca="1" si="300"/>
        <v>2.7441006429307495</v>
      </c>
      <c r="G690" s="306">
        <f t="shared" ca="1" si="301"/>
        <v>11.2307766562563</v>
      </c>
      <c r="H690" s="307">
        <f t="shared" ca="1" si="302"/>
        <v>-101.01877658410542</v>
      </c>
      <c r="I690" s="304">
        <f t="shared" ca="1" si="303"/>
        <v>101.64115095202395</v>
      </c>
      <c r="J690" s="306">
        <f t="shared" ca="1" si="304"/>
        <v>844.09928689791877</v>
      </c>
      <c r="K690" s="307">
        <f t="shared" ca="1" si="305"/>
        <v>1223.0513308531922</v>
      </c>
      <c r="L690" s="304">
        <f t="shared" ca="1" si="290"/>
        <v>1486.0545629428752</v>
      </c>
      <c r="M690" s="306">
        <f t="shared" ca="1" si="306"/>
        <v>-1.4600758577538464</v>
      </c>
      <c r="N690" s="304">
        <f t="shared" ca="1" si="307"/>
        <v>-83.656184418238936</v>
      </c>
      <c r="P690" s="310">
        <f t="shared" ca="1" si="308"/>
        <v>23</v>
      </c>
      <c r="Q690" s="304">
        <f t="shared" ca="1" si="309"/>
        <v>0</v>
      </c>
      <c r="R690" s="306">
        <f t="shared" ca="1" si="310"/>
        <v>0</v>
      </c>
      <c r="S690" s="307">
        <f t="shared" ca="1" si="311"/>
        <v>4.9929999999999914</v>
      </c>
      <c r="T690" s="304">
        <f t="shared" ca="1" si="291"/>
        <v>48.981329999999922</v>
      </c>
      <c r="U690" s="311">
        <f t="shared" ca="1" si="292"/>
        <v>0</v>
      </c>
      <c r="V690" s="306">
        <f t="shared" ca="1" si="293"/>
        <v>1.083810323083271</v>
      </c>
      <c r="W690" s="304">
        <f t="shared" ca="1" si="294"/>
        <v>36.327444727846427</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2.5164006733788415</v>
      </c>
      <c r="AH690" s="304">
        <f t="shared" ca="1" si="318"/>
        <v>-7.2323574019068797</v>
      </c>
    </row>
    <row r="691" spans="1:34" x14ac:dyDescent="0.2">
      <c r="A691" s="347">
        <f t="shared" ca="1" si="296"/>
        <v>0.1</v>
      </c>
      <c r="B691" s="304">
        <f t="shared" ca="1" si="297"/>
        <v>32.700000000000152</v>
      </c>
      <c r="D691" s="306">
        <f t="shared" ca="1" si="298"/>
        <v>-0.80392123615721045</v>
      </c>
      <c r="E691" s="307">
        <f t="shared" ca="1" si="299"/>
        <v>-2.5788758994825995</v>
      </c>
      <c r="F691" s="304">
        <f t="shared" ca="1" si="300"/>
        <v>2.7012756725067368</v>
      </c>
      <c r="G691" s="306">
        <f t="shared" ca="1" si="301"/>
        <v>11.150384532640578</v>
      </c>
      <c r="H691" s="307">
        <f t="shared" ca="1" si="302"/>
        <v>-101.27666417405368</v>
      </c>
      <c r="I691" s="304">
        <f t="shared" ca="1" si="303"/>
        <v>101.88863421132798</v>
      </c>
      <c r="J691" s="306">
        <f t="shared" ca="1" si="304"/>
        <v>845.21834495736357</v>
      </c>
      <c r="K691" s="307">
        <f t="shared" ca="1" si="305"/>
        <v>1212.9365588152843</v>
      </c>
      <c r="L691" s="304">
        <f t="shared" ca="1" si="290"/>
        <v>1478.3805823816576</v>
      </c>
      <c r="M691" s="306">
        <f t="shared" ca="1" si="306"/>
        <v>-1.4611397155120296</v>
      </c>
      <c r="N691" s="304">
        <f t="shared" ca="1" si="307"/>
        <v>-83.717138977785083</v>
      </c>
      <c r="P691" s="310">
        <f t="shared" ca="1" si="308"/>
        <v>23</v>
      </c>
      <c r="Q691" s="304">
        <f t="shared" ca="1" si="309"/>
        <v>0</v>
      </c>
      <c r="R691" s="306">
        <f t="shared" ca="1" si="310"/>
        <v>0</v>
      </c>
      <c r="S691" s="307">
        <f t="shared" ca="1" si="311"/>
        <v>4.9929999999999914</v>
      </c>
      <c r="T691" s="304">
        <f t="shared" ca="1" si="291"/>
        <v>48.981329999999922</v>
      </c>
      <c r="U691" s="311">
        <f t="shared" ca="1" si="292"/>
        <v>0</v>
      </c>
      <c r="V691" s="306">
        <f t="shared" ca="1" si="293"/>
        <v>1.0849112121578226</v>
      </c>
      <c r="W691" s="304">
        <f t="shared" ca="1" si="294"/>
        <v>36.541645309412118</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2.4742560087121461</v>
      </c>
      <c r="AH691" s="304">
        <f t="shared" ca="1" si="318"/>
        <v>-7.2756748904158801</v>
      </c>
    </row>
    <row r="692" spans="1:34" x14ac:dyDescent="0.2">
      <c r="A692" s="347">
        <f t="shared" ca="1" si="296"/>
        <v>0.1</v>
      </c>
      <c r="B692" s="304">
        <f t="shared" ca="1" si="297"/>
        <v>32.800000000000153</v>
      </c>
      <c r="D692" s="306">
        <f t="shared" ca="1" si="298"/>
        <v>-0.80092276100711035</v>
      </c>
      <c r="E692" s="307">
        <f t="shared" ca="1" si="299"/>
        <v>-2.53538222709492</v>
      </c>
      <c r="F692" s="304">
        <f t="shared" ca="1" si="300"/>
        <v>2.6588795208824432</v>
      </c>
      <c r="G692" s="306">
        <f t="shared" ca="1" si="301"/>
        <v>11.070292256539867</v>
      </c>
      <c r="H692" s="307">
        <f t="shared" ca="1" si="302"/>
        <v>-101.53020239676317</v>
      </c>
      <c r="I692" s="304">
        <f t="shared" ca="1" si="303"/>
        <v>102.13194098504592</v>
      </c>
      <c r="J692" s="306">
        <f t="shared" ca="1" si="304"/>
        <v>846.32937879682254</v>
      </c>
      <c r="K692" s="307">
        <f t="shared" ca="1" si="305"/>
        <v>1202.7962154867434</v>
      </c>
      <c r="L692" s="304">
        <f t="shared" ca="1" si="290"/>
        <v>1470.7114446429823</v>
      </c>
      <c r="M692" s="306">
        <f t="shared" ca="1" si="306"/>
        <v>-1.4621908822396705</v>
      </c>
      <c r="N692" s="304">
        <f t="shared" ca="1" si="307"/>
        <v>-83.777366394843483</v>
      </c>
      <c r="P692" s="310">
        <f t="shared" ca="1" si="308"/>
        <v>23</v>
      </c>
      <c r="Q692" s="304">
        <f t="shared" ca="1" si="309"/>
        <v>0</v>
      </c>
      <c r="R692" s="306">
        <f t="shared" ca="1" si="310"/>
        <v>0</v>
      </c>
      <c r="S692" s="307">
        <f t="shared" ca="1" si="311"/>
        <v>4.9929999999999914</v>
      </c>
      <c r="T692" s="304">
        <f t="shared" ca="1" si="291"/>
        <v>48.981329999999922</v>
      </c>
      <c r="U692" s="311">
        <f t="shared" ca="1" si="292"/>
        <v>0</v>
      </c>
      <c r="V692" s="306">
        <f t="shared" ca="1" si="293"/>
        <v>1.0860159387472625</v>
      </c>
      <c r="W692" s="304">
        <f t="shared" ca="1" si="294"/>
        <v>36.753761206997595</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2.4325034830295893</v>
      </c>
      <c r="AH692" s="304">
        <f t="shared" ca="1" si="318"/>
        <v>-7.3185750669762024</v>
      </c>
    </row>
    <row r="693" spans="1:34" x14ac:dyDescent="0.2">
      <c r="A693" s="347">
        <f t="shared" ca="1" si="296"/>
        <v>0.1</v>
      </c>
      <c r="B693" s="304">
        <f t="shared" ca="1" si="297"/>
        <v>32.900000000000155</v>
      </c>
      <c r="D693" s="306">
        <f t="shared" ca="1" si="298"/>
        <v>-0.79788026660594713</v>
      </c>
      <c r="E693" s="307">
        <f t="shared" ca="1" si="299"/>
        <v>-2.4923119860247178</v>
      </c>
      <c r="F693" s="304">
        <f t="shared" ca="1" si="300"/>
        <v>2.6169126763271358</v>
      </c>
      <c r="G693" s="306">
        <f t="shared" ca="1" si="301"/>
        <v>10.990504229879273</v>
      </c>
      <c r="H693" s="307">
        <f t="shared" ca="1" si="302"/>
        <v>-101.77943359536565</v>
      </c>
      <c r="I693" s="304">
        <f t="shared" ca="1" si="303"/>
        <v>102.37111060362899</v>
      </c>
      <c r="J693" s="306">
        <f t="shared" ca="1" si="304"/>
        <v>847.43241862114348</v>
      </c>
      <c r="K693" s="307">
        <f t="shared" ca="1" si="305"/>
        <v>1192.6307336871371</v>
      </c>
      <c r="L693" s="304">
        <f t="shared" ca="1" si="290"/>
        <v>1463.0481096208696</v>
      </c>
      <c r="M693" s="306">
        <f t="shared" ca="1" si="306"/>
        <v>-1.463229579943139</v>
      </c>
      <c r="N693" s="304">
        <f t="shared" ca="1" si="307"/>
        <v>-83.83687938944216</v>
      </c>
      <c r="P693" s="310">
        <f t="shared" ca="1" si="308"/>
        <v>23</v>
      </c>
      <c r="Q693" s="304">
        <f t="shared" ca="1" si="309"/>
        <v>0</v>
      </c>
      <c r="R693" s="306">
        <f t="shared" ca="1" si="310"/>
        <v>0</v>
      </c>
      <c r="S693" s="307">
        <f t="shared" ca="1" si="311"/>
        <v>4.9929999999999914</v>
      </c>
      <c r="T693" s="304">
        <f t="shared" ca="1" si="291"/>
        <v>48.981329999999922</v>
      </c>
      <c r="U693" s="311">
        <f t="shared" ca="1" si="292"/>
        <v>0</v>
      </c>
      <c r="V693" s="306">
        <f t="shared" ca="1" si="293"/>
        <v>1.0871244651383063</v>
      </c>
      <c r="W693" s="304">
        <f t="shared" ca="1" si="294"/>
        <v>36.963792033863463</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2.3911439485485957</v>
      </c>
      <c r="AH693" s="304">
        <f t="shared" ca="1" si="318"/>
        <v>-7.3610577222106262</v>
      </c>
    </row>
    <row r="694" spans="1:34" x14ac:dyDescent="0.2">
      <c r="A694" s="347">
        <f t="shared" ca="1" si="296"/>
        <v>0.1</v>
      </c>
      <c r="B694" s="304">
        <f t="shared" ca="1" si="297"/>
        <v>33.000000000000156</v>
      </c>
      <c r="D694" s="306">
        <f t="shared" ca="1" si="298"/>
        <v>-0.79479505236827253</v>
      </c>
      <c r="E694" s="307">
        <f t="shared" ca="1" si="299"/>
        <v>-2.4496652453378571</v>
      </c>
      <c r="F694" s="304">
        <f t="shared" ca="1" si="300"/>
        <v>2.575375504559533</v>
      </c>
      <c r="G694" s="306">
        <f t="shared" ca="1" si="301"/>
        <v>10.911024724642445</v>
      </c>
      <c r="H694" s="307">
        <f t="shared" ca="1" si="302"/>
        <v>-102.02440011989943</v>
      </c>
      <c r="I694" s="304">
        <f t="shared" ca="1" si="303"/>
        <v>102.60618246658967</v>
      </c>
      <c r="J694" s="306">
        <f t="shared" ca="1" si="304"/>
        <v>848.5274950688696</v>
      </c>
      <c r="K694" s="307">
        <f t="shared" ca="1" si="305"/>
        <v>1182.4405420013738</v>
      </c>
      <c r="L694" s="304">
        <f t="shared" ca="1" si="290"/>
        <v>1455.3915436254097</v>
      </c>
      <c r="M694" s="306">
        <f t="shared" ca="1" si="306"/>
        <v>-1.4642560251163328</v>
      </c>
      <c r="N694" s="304">
        <f t="shared" ca="1" si="307"/>
        <v>-83.895690365767734</v>
      </c>
      <c r="P694" s="310">
        <f t="shared" ca="1" si="308"/>
        <v>23</v>
      </c>
      <c r="Q694" s="304">
        <f t="shared" ca="1" si="309"/>
        <v>0</v>
      </c>
      <c r="R694" s="306">
        <f t="shared" ca="1" si="310"/>
        <v>0</v>
      </c>
      <c r="S694" s="307">
        <f t="shared" ca="1" si="311"/>
        <v>4.9929999999999914</v>
      </c>
      <c r="T694" s="304">
        <f t="shared" ca="1" si="291"/>
        <v>48.981329999999922</v>
      </c>
      <c r="U694" s="311">
        <f t="shared" ca="1" si="292"/>
        <v>0</v>
      </c>
      <c r="V694" s="306">
        <f t="shared" ca="1" si="293"/>
        <v>1.0882367539444227</v>
      </c>
      <c r="W694" s="304">
        <f t="shared" ca="1" si="294"/>
        <v>37.171738045140692</v>
      </c>
      <c r="Y694" s="314" t="str">
        <f t="shared" ca="1" si="312"/>
        <v/>
      </c>
      <c r="Z694" s="315" t="str">
        <f t="shared" ca="1" si="313"/>
        <v/>
      </c>
      <c r="AA694" s="316" t="str">
        <f t="shared" ca="1" si="314"/>
        <v/>
      </c>
      <c r="AC694" s="310">
        <f t="shared" ca="1" si="315"/>
        <v>33.000000000000156</v>
      </c>
      <c r="AD694" s="323">
        <f t="shared" ca="1" si="316"/>
        <v>848.5274950688696</v>
      </c>
      <c r="AE694" s="324" t="e">
        <f t="shared" ca="1" si="295"/>
        <v>#N/A</v>
      </c>
      <c r="AG694" s="306">
        <f t="shared" ca="1" si="317"/>
        <v>2.3501781055725921</v>
      </c>
      <c r="AH694" s="304">
        <f t="shared" ca="1" si="318"/>
        <v>-7.4031227786628335</v>
      </c>
    </row>
    <row r="695" spans="1:34" x14ac:dyDescent="0.2">
      <c r="A695" s="347">
        <f t="shared" ca="1" si="296"/>
        <v>0.1</v>
      </c>
      <c r="B695" s="304">
        <f t="shared" ca="1" si="297"/>
        <v>33.100000000000158</v>
      </c>
      <c r="D695" s="306">
        <f t="shared" ca="1" si="298"/>
        <v>-0.79166840362556279</v>
      </c>
      <c r="E695" s="307">
        <f t="shared" ca="1" si="299"/>
        <v>-2.4074419440770507</v>
      </c>
      <c r="F695" s="304">
        <f t="shared" ca="1" si="300"/>
        <v>2.5342682524548454</v>
      </c>
      <c r="G695" s="306">
        <f t="shared" ca="1" si="301"/>
        <v>10.831857884279888</v>
      </c>
      <c r="H695" s="307">
        <f t="shared" ca="1" si="302"/>
        <v>-102.26514431430714</v>
      </c>
      <c r="I695" s="304">
        <f t="shared" ca="1" si="303"/>
        <v>102.8371960277569</v>
      </c>
      <c r="J695" s="306">
        <f t="shared" ca="1" si="304"/>
        <v>849.61463919931566</v>
      </c>
      <c r="K695" s="307">
        <f t="shared" ca="1" si="305"/>
        <v>1172.2260647796636</v>
      </c>
      <c r="L695" s="304">
        <f t="shared" ca="1" si="290"/>
        <v>1447.7427195778259</v>
      </c>
      <c r="M695" s="306">
        <f t="shared" ca="1" si="306"/>
        <v>-1.465270428911764</v>
      </c>
      <c r="N695" s="304">
        <f t="shared" ca="1" si="307"/>
        <v>-83.953811421967998</v>
      </c>
      <c r="P695" s="310">
        <f t="shared" ca="1" si="308"/>
        <v>23</v>
      </c>
      <c r="Q695" s="304">
        <f t="shared" ca="1" si="309"/>
        <v>0</v>
      </c>
      <c r="R695" s="306">
        <f t="shared" ca="1" si="310"/>
        <v>0</v>
      </c>
      <c r="S695" s="307">
        <f t="shared" ca="1" si="311"/>
        <v>4.9929999999999914</v>
      </c>
      <c r="T695" s="304">
        <f t="shared" ca="1" si="291"/>
        <v>48.981329999999922</v>
      </c>
      <c r="U695" s="311">
        <f t="shared" ca="1" si="292"/>
        <v>0</v>
      </c>
      <c r="V695" s="306">
        <f t="shared" ca="1" si="293"/>
        <v>1.089352768106528</v>
      </c>
      <c r="W695" s="304">
        <f t="shared" ca="1" si="294"/>
        <v>37.377600121124672</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2.3096065066004527</v>
      </c>
      <c r="AH695" s="304">
        <f t="shared" ca="1" si="318"/>
        <v>-7.4447702874305541</v>
      </c>
    </row>
    <row r="696" spans="1:34" x14ac:dyDescent="0.2">
      <c r="A696" s="347">
        <f t="shared" ca="1" si="296"/>
        <v>0.1</v>
      </c>
      <c r="B696" s="304">
        <f t="shared" ca="1" si="297"/>
        <v>33.200000000000159</v>
      </c>
      <c r="D696" s="306">
        <f t="shared" ca="1" si="298"/>
        <v>-0.78850159140297305</v>
      </c>
      <c r="E696" s="307">
        <f t="shared" ca="1" si="299"/>
        <v>-2.3656418946456084</v>
      </c>
      <c r="F696" s="304">
        <f t="shared" ca="1" si="300"/>
        <v>2.4935910517459523</v>
      </c>
      <c r="G696" s="306">
        <f t="shared" ca="1" si="301"/>
        <v>10.753007725139591</v>
      </c>
      <c r="H696" s="307">
        <f t="shared" ca="1" si="302"/>
        <v>-102.5017085037717</v>
      </c>
      <c r="I696" s="304">
        <f t="shared" ca="1" si="303"/>
        <v>103.06419078093562</v>
      </c>
      <c r="J696" s="306">
        <f t="shared" ca="1" si="304"/>
        <v>850.69388247978668</v>
      </c>
      <c r="K696" s="307">
        <f t="shared" ca="1" si="305"/>
        <v>1161.9877221387596</v>
      </c>
      <c r="L696" s="304">
        <f t="shared" ca="1" si="290"/>
        <v>1440.1026172081476</v>
      </c>
      <c r="M696" s="306">
        <f t="shared" ca="1" si="306"/>
        <v>-1.4662729973054145</v>
      </c>
      <c r="N696" s="304">
        <f t="shared" ca="1" si="307"/>
        <v>-84.011254359597373</v>
      </c>
      <c r="P696" s="310">
        <f t="shared" ca="1" si="308"/>
        <v>23</v>
      </c>
      <c r="Q696" s="304">
        <f t="shared" ca="1" si="309"/>
        <v>0</v>
      </c>
      <c r="R696" s="306">
        <f t="shared" ca="1" si="310"/>
        <v>0</v>
      </c>
      <c r="S696" s="307">
        <f t="shared" ca="1" si="311"/>
        <v>4.9929999999999914</v>
      </c>
      <c r="T696" s="304">
        <f t="shared" ca="1" si="291"/>
        <v>48.981329999999922</v>
      </c>
      <c r="U696" s="311">
        <f t="shared" ca="1" si="292"/>
        <v>0</v>
      </c>
      <c r="V696" s="306">
        <f t="shared" ca="1" si="293"/>
        <v>1.0904724708935691</v>
      </c>
      <c r="W696" s="304">
        <f t="shared" ca="1" si="294"/>
        <v>37.581379750683702</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2.2694295603830579</v>
      </c>
      <c r="AH696" s="304">
        <f t="shared" ca="1" si="318"/>
        <v>-7.4860004248196947</v>
      </c>
    </row>
    <row r="697" spans="1:34" x14ac:dyDescent="0.2">
      <c r="A697" s="347">
        <f t="shared" ca="1" si="296"/>
        <v>0.1</v>
      </c>
      <c r="B697" s="304">
        <f t="shared" ca="1" si="297"/>
        <v>33.300000000000161</v>
      </c>
      <c r="D697" s="306">
        <f t="shared" ca="1" si="298"/>
        <v>-0.78529587221193209</v>
      </c>
      <c r="E697" s="307">
        <f t="shared" ca="1" si="299"/>
        <v>-2.3242647861682189</v>
      </c>
      <c r="F697" s="304">
        <f t="shared" ca="1" si="300"/>
        <v>2.45334392271746</v>
      </c>
      <c r="G697" s="306">
        <f t="shared" ca="1" si="301"/>
        <v>10.674478137918397</v>
      </c>
      <c r="H697" s="307">
        <f t="shared" ca="1" si="302"/>
        <v>-102.73413498238851</v>
      </c>
      <c r="I697" s="304">
        <f t="shared" ca="1" si="303"/>
        <v>103.28720624596505</v>
      </c>
      <c r="J697" s="306">
        <f t="shared" ca="1" si="304"/>
        <v>851.76525677293955</v>
      </c>
      <c r="K697" s="307">
        <f t="shared" ca="1" si="305"/>
        <v>1151.7259299644516</v>
      </c>
      <c r="L697" s="304">
        <f t="shared" ca="1" si="290"/>
        <v>1432.4722232552897</v>
      </c>
      <c r="M697" s="306">
        <f t="shared" ca="1" si="306"/>
        <v>-1.4672639312556233</v>
      </c>
      <c r="N697" s="304">
        <f t="shared" ca="1" si="307"/>
        <v>-84.068030692720569</v>
      </c>
      <c r="P697" s="310">
        <f t="shared" ca="1" si="308"/>
        <v>23</v>
      </c>
      <c r="Q697" s="304">
        <f t="shared" ca="1" si="309"/>
        <v>0</v>
      </c>
      <c r="R697" s="306">
        <f t="shared" ca="1" si="310"/>
        <v>0</v>
      </c>
      <c r="S697" s="307">
        <f t="shared" ca="1" si="311"/>
        <v>4.9929999999999914</v>
      </c>
      <c r="T697" s="304">
        <f t="shared" ca="1" si="291"/>
        <v>48.981329999999922</v>
      </c>
      <c r="U697" s="311">
        <f t="shared" ca="1" si="292"/>
        <v>0</v>
      </c>
      <c r="V697" s="306">
        <f t="shared" ca="1" si="293"/>
        <v>1.091595825903005</v>
      </c>
      <c r="W697" s="304">
        <f t="shared" ca="1" si="294"/>
        <v>37.783079014791802</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2.2296475359265893</v>
      </c>
      <c r="AH697" s="304">
        <f t="shared" ca="1" si="318"/>
        <v>-7.5268134890213831</v>
      </c>
    </row>
    <row r="698" spans="1:34" x14ac:dyDescent="0.2">
      <c r="A698" s="347">
        <f t="shared" ca="1" si="296"/>
        <v>0.1</v>
      </c>
      <c r="B698" s="304">
        <f t="shared" ca="1" si="297"/>
        <v>33.400000000000162</v>
      </c>
      <c r="D698" s="306">
        <f t="shared" ca="1" si="298"/>
        <v>-0.78205248785819925</v>
      </c>
      <c r="E698" s="307">
        <f t="shared" ca="1" si="299"/>
        <v>-2.2833101878267081</v>
      </c>
      <c r="F698" s="304">
        <f t="shared" ca="1" si="300"/>
        <v>2.4135267778913159</v>
      </c>
      <c r="G698" s="306">
        <f t="shared" ca="1" si="301"/>
        <v>10.596272889132578</v>
      </c>
      <c r="H698" s="307">
        <f t="shared" ca="1" si="302"/>
        <v>-102.96246600117118</v>
      </c>
      <c r="I698" s="304">
        <f t="shared" ca="1" si="303"/>
        <v>103.50628195517071</v>
      </c>
      <c r="J698" s="306">
        <f t="shared" ca="1" si="304"/>
        <v>852.82879432429206</v>
      </c>
      <c r="K698" s="307">
        <f t="shared" ca="1" si="305"/>
        <v>1141.4410999152735</v>
      </c>
      <c r="L698" s="304">
        <f t="shared" ca="1" si="290"/>
        <v>1424.8525316693006</v>
      </c>
      <c r="M698" s="306">
        <f t="shared" ca="1" si="306"/>
        <v>-1.4682434268562516</v>
      </c>
      <c r="N698" s="304">
        <f t="shared" ca="1" si="307"/>
        <v>-84.124151656688213</v>
      </c>
      <c r="P698" s="310">
        <f t="shared" ca="1" si="308"/>
        <v>23</v>
      </c>
      <c r="Q698" s="304">
        <f t="shared" ca="1" si="309"/>
        <v>0</v>
      </c>
      <c r="R698" s="306">
        <f t="shared" ca="1" si="310"/>
        <v>0</v>
      </c>
      <c r="S698" s="307">
        <f t="shared" ca="1" si="311"/>
        <v>4.9929999999999914</v>
      </c>
      <c r="T698" s="304">
        <f t="shared" ca="1" si="291"/>
        <v>48.981329999999922</v>
      </c>
      <c r="U698" s="311">
        <f t="shared" ca="1" si="292"/>
        <v>0</v>
      </c>
      <c r="V698" s="306">
        <f t="shared" ca="1" si="293"/>
        <v>1.0927227970611886</v>
      </c>
      <c r="W698" s="304">
        <f t="shared" ca="1" si="294"/>
        <v>37.982700570194552</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2.1902605664420554</v>
      </c>
      <c r="AH698" s="304">
        <f t="shared" ca="1" si="318"/>
        <v>-7.567209896813913</v>
      </c>
    </row>
    <row r="699" spans="1:34" x14ac:dyDescent="0.2">
      <c r="A699" s="347">
        <f t="shared" ca="1" si="296"/>
        <v>0.1</v>
      </c>
      <c r="B699" s="304">
        <f t="shared" ca="1" si="297"/>
        <v>33.500000000000163</v>
      </c>
      <c r="D699" s="306">
        <f t="shared" ca="1" si="298"/>
        <v>-0.77877266526497757</v>
      </c>
      <c r="E699" s="307">
        <f t="shared" ca="1" si="299"/>
        <v>-2.2427775521690299</v>
      </c>
      <c r="F699" s="304">
        <f t="shared" ca="1" si="300"/>
        <v>2.3741394257029684</v>
      </c>
      <c r="G699" s="306">
        <f t="shared" ca="1" si="301"/>
        <v>10.51839562260608</v>
      </c>
      <c r="H699" s="307">
        <f t="shared" ca="1" si="302"/>
        <v>-103.18674375638808</v>
      </c>
      <c r="I699" s="304">
        <f t="shared" ca="1" si="303"/>
        <v>103.7214574402045</v>
      </c>
      <c r="J699" s="306">
        <f t="shared" ca="1" si="304"/>
        <v>853.884527749879</v>
      </c>
      <c r="K699" s="307">
        <f t="shared" ca="1" si="305"/>
        <v>1131.1336394273956</v>
      </c>
      <c r="L699" s="304">
        <f t="shared" ca="1" si="290"/>
        <v>1417.2445438155332</v>
      </c>
      <c r="M699" s="306">
        <f t="shared" ca="1" si="306"/>
        <v>-1.4692116754843625</v>
      </c>
      <c r="N699" s="304">
        <f t="shared" ca="1" si="307"/>
        <v>-84.179628216598289</v>
      </c>
      <c r="P699" s="310">
        <f t="shared" ca="1" si="308"/>
        <v>23</v>
      </c>
      <c r="Q699" s="304">
        <f t="shared" ca="1" si="309"/>
        <v>0</v>
      </c>
      <c r="R699" s="306">
        <f t="shared" ca="1" si="310"/>
        <v>0</v>
      </c>
      <c r="S699" s="307">
        <f t="shared" ca="1" si="311"/>
        <v>4.9929999999999914</v>
      </c>
      <c r="T699" s="304">
        <f t="shared" ca="1" si="291"/>
        <v>48.981329999999922</v>
      </c>
      <c r="U699" s="311">
        <f t="shared" ca="1" si="292"/>
        <v>0</v>
      </c>
      <c r="V699" s="306">
        <f t="shared" ca="1" si="293"/>
        <v>1.0938533486236466</v>
      </c>
      <c r="W699" s="304">
        <f t="shared" ca="1" si="294"/>
        <v>38.180247633216247</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2.1512686532406686</v>
      </c>
      <c r="AH699" s="304">
        <f t="shared" ca="1" si="318"/>
        <v>-7.6071901802913313</v>
      </c>
    </row>
    <row r="700" spans="1:34" x14ac:dyDescent="0.2">
      <c r="A700" s="347">
        <f t="shared" ca="1" si="296"/>
        <v>0.1</v>
      </c>
      <c r="B700" s="304">
        <f t="shared" ca="1" si="297"/>
        <v>33.600000000000165</v>
      </c>
      <c r="D700" s="306">
        <f t="shared" ca="1" si="298"/>
        <v>-0.77545761631070587</v>
      </c>
      <c r="E700" s="307">
        <f t="shared" ca="1" si="299"/>
        <v>-2.2026662183897789</v>
      </c>
      <c r="F700" s="304">
        <f t="shared" ca="1" si="300"/>
        <v>2.3351815741671591</v>
      </c>
      <c r="G700" s="306">
        <f t="shared" ca="1" si="301"/>
        <v>10.44084986097501</v>
      </c>
      <c r="H700" s="307">
        <f t="shared" ca="1" si="302"/>
        <v>-103.40701037822706</v>
      </c>
      <c r="I700" s="304">
        <f t="shared" ca="1" si="303"/>
        <v>103.93277221926768</v>
      </c>
      <c r="J700" s="306">
        <f t="shared" ca="1" si="304"/>
        <v>854.9324900240581</v>
      </c>
      <c r="K700" s="307">
        <f t="shared" ca="1" si="305"/>
        <v>1120.8039517206648</v>
      </c>
      <c r="L700" s="304">
        <f t="shared" ca="1" si="290"/>
        <v>1409.6492686804738</v>
      </c>
      <c r="M700" s="306">
        <f t="shared" ca="1" si="306"/>
        <v>-1.470168863942642</v>
      </c>
      <c r="N700" s="304">
        <f t="shared" ca="1" si="307"/>
        <v>-84.234471075456341</v>
      </c>
      <c r="P700" s="310">
        <f t="shared" ca="1" si="308"/>
        <v>23</v>
      </c>
      <c r="Q700" s="304">
        <f t="shared" ca="1" si="309"/>
        <v>0</v>
      </c>
      <c r="R700" s="306">
        <f t="shared" ca="1" si="310"/>
        <v>0</v>
      </c>
      <c r="S700" s="307">
        <f t="shared" ca="1" si="311"/>
        <v>4.9929999999999914</v>
      </c>
      <c r="T700" s="304">
        <f t="shared" ca="1" si="291"/>
        <v>48.981329999999922</v>
      </c>
      <c r="U700" s="311">
        <f t="shared" ca="1" si="292"/>
        <v>0</v>
      </c>
      <c r="V700" s="306">
        <f t="shared" ca="1" si="293"/>
        <v>1.0949874451752621</v>
      </c>
      <c r="W700" s="304">
        <f t="shared" ca="1" si="294"/>
        <v>38.375723963716482</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2.1126716695747136</v>
      </c>
      <c r="AH700" s="304">
        <f t="shared" ca="1" si="318"/>
        <v>-7.6467549836203306</v>
      </c>
    </row>
    <row r="701" spans="1:34" x14ac:dyDescent="0.2">
      <c r="A701" s="347">
        <f t="shared" ca="1" si="296"/>
        <v>0.1</v>
      </c>
      <c r="B701" s="304">
        <f t="shared" ca="1" si="297"/>
        <v>33.700000000000166</v>
      </c>
      <c r="D701" s="306">
        <f t="shared" ca="1" si="298"/>
        <v>-0.77210853768110876</v>
      </c>
      <c r="E701" s="307">
        <f t="shared" ca="1" si="299"/>
        <v>-2.1629754155805632</v>
      </c>
      <c r="F701" s="304">
        <f t="shared" ca="1" si="300"/>
        <v>2.2966528345324573</v>
      </c>
      <c r="G701" s="306">
        <f t="shared" ca="1" si="301"/>
        <v>10.363639007206899</v>
      </c>
      <c r="H701" s="307">
        <f t="shared" ca="1" si="302"/>
        <v>-103.62330791978512</v>
      </c>
      <c r="I701" s="304">
        <f t="shared" ca="1" si="303"/>
        <v>104.14026578471126</v>
      </c>
      <c r="J701" s="306">
        <f t="shared" ca="1" si="304"/>
        <v>855.9727144674672</v>
      </c>
      <c r="K701" s="307">
        <f t="shared" ca="1" si="305"/>
        <v>1110.4524358057643</v>
      </c>
      <c r="L701" s="304">
        <f t="shared" ca="1" si="290"/>
        <v>1402.0677230789386</v>
      </c>
      <c r="M701" s="306">
        <f t="shared" ca="1" si="306"/>
        <v>-1.4711151745967743</v>
      </c>
      <c r="N701" s="304">
        <f t="shared" ca="1" si="307"/>
        <v>-84.288690682046393</v>
      </c>
      <c r="P701" s="310">
        <f t="shared" ca="1" si="308"/>
        <v>23</v>
      </c>
      <c r="Q701" s="304">
        <f t="shared" ca="1" si="309"/>
        <v>0</v>
      </c>
      <c r="R701" s="306">
        <f t="shared" ca="1" si="310"/>
        <v>0</v>
      </c>
      <c r="S701" s="307">
        <f t="shared" ca="1" si="311"/>
        <v>4.9929999999999914</v>
      </c>
      <c r="T701" s="304">
        <f t="shared" ca="1" si="291"/>
        <v>48.981329999999922</v>
      </c>
      <c r="U701" s="311">
        <f t="shared" ca="1" si="292"/>
        <v>0</v>
      </c>
      <c r="V701" s="306">
        <f t="shared" ca="1" si="293"/>
        <v>1.0961250516303642</v>
      </c>
      <c r="W701" s="304">
        <f t="shared" ca="1" si="294"/>
        <v>38.569133849203901</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2.074469364423571</v>
      </c>
      <c r="AH701" s="304">
        <f t="shared" ca="1" si="318"/>
        <v>-7.6859050598270677</v>
      </c>
    </row>
    <row r="702" spans="1:34" x14ac:dyDescent="0.2">
      <c r="A702" s="347">
        <f t="shared" ca="1" si="296"/>
        <v>0.1</v>
      </c>
      <c r="B702" s="304">
        <f t="shared" ca="1" si="297"/>
        <v>33.800000000000168</v>
      </c>
      <c r="D702" s="306">
        <f t="shared" ca="1" si="298"/>
        <v>-0.76872661073515824</v>
      </c>
      <c r="E702" s="307">
        <f t="shared" ca="1" si="299"/>
        <v>-2.1237042659486915</v>
      </c>
      <c r="F702" s="304">
        <f t="shared" ca="1" si="300"/>
        <v>2.2585527249238693</v>
      </c>
      <c r="G702" s="306">
        <f t="shared" ca="1" si="301"/>
        <v>10.286766346133383</v>
      </c>
      <c r="H702" s="307">
        <f t="shared" ca="1" si="302"/>
        <v>-103.83567834637999</v>
      </c>
      <c r="I702" s="304">
        <f t="shared" ca="1" si="303"/>
        <v>104.34397759100823</v>
      </c>
      <c r="J702" s="306">
        <f t="shared" ca="1" si="304"/>
        <v>857.0052347351342</v>
      </c>
      <c r="K702" s="307">
        <f t="shared" ca="1" si="305"/>
        <v>1100.079486492456</v>
      </c>
      <c r="L702" s="304">
        <f t="shared" ca="1" si="290"/>
        <v>1394.5009318623377</v>
      </c>
      <c r="M702" s="306">
        <f t="shared" ca="1" si="306"/>
        <v>-1.4720507855079774</v>
      </c>
      <c r="N702" s="304">
        <f t="shared" ca="1" si="307"/>
        <v>-84.342297238524708</v>
      </c>
      <c r="P702" s="310">
        <f t="shared" ca="1" si="308"/>
        <v>23</v>
      </c>
      <c r="Q702" s="304">
        <f t="shared" ca="1" si="309"/>
        <v>0</v>
      </c>
      <c r="R702" s="306">
        <f t="shared" ca="1" si="310"/>
        <v>0</v>
      </c>
      <c r="S702" s="307">
        <f t="shared" ca="1" si="311"/>
        <v>4.9929999999999914</v>
      </c>
      <c r="T702" s="304">
        <f t="shared" ca="1" si="291"/>
        <v>48.981329999999922</v>
      </c>
      <c r="U702" s="311">
        <f t="shared" ca="1" si="292"/>
        <v>0</v>
      </c>
      <c r="V702" s="306">
        <f t="shared" ca="1" si="293"/>
        <v>1.097266133232726</v>
      </c>
      <c r="W702" s="304">
        <f t="shared" ca="1" si="294"/>
        <v>38.760482089113736</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2.0366613662244735</v>
      </c>
      <c r="AH702" s="304">
        <f t="shared" ca="1" si="318"/>
        <v>-7.7246412676154552</v>
      </c>
    </row>
    <row r="703" spans="1:34" x14ac:dyDescent="0.2">
      <c r="A703" s="347">
        <f t="shared" ca="1" si="296"/>
        <v>0.1</v>
      </c>
      <c r="B703" s="304">
        <f t="shared" ca="1" si="297"/>
        <v>33.900000000000169</v>
      </c>
      <c r="D703" s="306">
        <f t="shared" ca="1" si="298"/>
        <v>-0.76531300138451974</v>
      </c>
      <c r="E703" s="307">
        <f t="shared" ca="1" si="299"/>
        <v>-2.0848517880027684</v>
      </c>
      <c r="F703" s="304">
        <f t="shared" ca="1" si="300"/>
        <v>2.2208806739729448</v>
      </c>
      <c r="G703" s="306">
        <f t="shared" ca="1" si="301"/>
        <v>10.210235045994931</v>
      </c>
      <c r="H703" s="307">
        <f t="shared" ca="1" si="302"/>
        <v>-104.04416352518027</v>
      </c>
      <c r="I703" s="304">
        <f t="shared" ca="1" si="303"/>
        <v>104.54394704309243</v>
      </c>
      <c r="J703" s="306">
        <f t="shared" ca="1" si="304"/>
        <v>858.03008480474057</v>
      </c>
      <c r="K703" s="307">
        <f t="shared" ca="1" si="305"/>
        <v>1089.6854943988781</v>
      </c>
      <c r="L703" s="304">
        <f t="shared" ca="1" si="290"/>
        <v>1386.949928127673</v>
      </c>
      <c r="M703" s="306">
        <f t="shared" ca="1" si="306"/>
        <v>-1.4729758705608951</v>
      </c>
      <c r="N703" s="304">
        <f t="shared" ca="1" si="307"/>
        <v>-84.395300707747538</v>
      </c>
      <c r="P703" s="310">
        <f t="shared" ca="1" si="308"/>
        <v>23</v>
      </c>
      <c r="Q703" s="304">
        <f t="shared" ca="1" si="309"/>
        <v>0</v>
      </c>
      <c r="R703" s="306">
        <f t="shared" ca="1" si="310"/>
        <v>0</v>
      </c>
      <c r="S703" s="307">
        <f t="shared" ca="1" si="311"/>
        <v>4.9929999999999914</v>
      </c>
      <c r="T703" s="304">
        <f t="shared" ca="1" si="291"/>
        <v>48.981329999999922</v>
      </c>
      <c r="U703" s="311">
        <f t="shared" ca="1" si="292"/>
        <v>0</v>
      </c>
      <c r="V703" s="306">
        <f t="shared" ca="1" si="293"/>
        <v>1.0984106555554709</v>
      </c>
      <c r="W703" s="304">
        <f t="shared" ca="1" si="294"/>
        <v>38.949773979256513</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1.9992471865478025</v>
      </c>
      <c r="AH703" s="304">
        <f t="shared" ca="1" si="318"/>
        <v>-7.7629645682182664</v>
      </c>
    </row>
    <row r="704" spans="1:34" x14ac:dyDescent="0.2">
      <c r="A704" s="347">
        <f t="shared" ca="1" si="296"/>
        <v>0.1</v>
      </c>
      <c r="B704" s="304">
        <f t="shared" ca="1" si="297"/>
        <v>34.000000000000171</v>
      </c>
      <c r="D704" s="306">
        <f t="shared" ca="1" si="298"/>
        <v>-0.76186885998612297</v>
      </c>
      <c r="E704" s="307">
        <f t="shared" ca="1" si="299"/>
        <v>-2.0464168997037424</v>
      </c>
      <c r="F704" s="304">
        <f t="shared" ca="1" si="300"/>
        <v>2.1836360244348487</v>
      </c>
      <c r="G704" s="306">
        <f t="shared" ca="1" si="301"/>
        <v>10.134048159996318</v>
      </c>
      <c r="H704" s="307">
        <f t="shared" ca="1" si="302"/>
        <v>-104.24880521515064</v>
      </c>
      <c r="I704" s="304">
        <f t="shared" ca="1" si="303"/>
        <v>104.74021348505808</v>
      </c>
      <c r="J704" s="306">
        <f t="shared" ca="1" si="304"/>
        <v>859.04729896504011</v>
      </c>
      <c r="K704" s="307">
        <f t="shared" ca="1" si="305"/>
        <v>1079.2708459618616</v>
      </c>
      <c r="L704" s="304">
        <f t="shared" ca="1" si="290"/>
        <v>1379.4157534269223</v>
      </c>
      <c r="M704" s="306">
        <f t="shared" ca="1" si="306"/>
        <v>-1.4738905995870297</v>
      </c>
      <c r="N704" s="304">
        <f t="shared" ca="1" si="307"/>
        <v>-84.447710820343161</v>
      </c>
      <c r="P704" s="310">
        <f t="shared" ca="1" si="308"/>
        <v>23</v>
      </c>
      <c r="Q704" s="304">
        <f t="shared" ca="1" si="309"/>
        <v>0</v>
      </c>
      <c r="R704" s="306">
        <f t="shared" ca="1" si="310"/>
        <v>0</v>
      </c>
      <c r="S704" s="307">
        <f t="shared" ca="1" si="311"/>
        <v>4.9929999999999914</v>
      </c>
      <c r="T704" s="304">
        <f t="shared" ca="1" si="291"/>
        <v>48.981329999999922</v>
      </c>
      <c r="U704" s="311">
        <f t="shared" ca="1" si="292"/>
        <v>0</v>
      </c>
      <c r="V704" s="306">
        <f t="shared" ca="1" si="293"/>
        <v>1.0995585845008908</v>
      </c>
      <c r="W704" s="304">
        <f t="shared" ca="1" si="294"/>
        <v>39.137015296443181</v>
      </c>
      <c r="Y704" s="314" t="str">
        <f t="shared" ca="1" si="312"/>
        <v/>
      </c>
      <c r="Z704" s="315" t="str">
        <f t="shared" ca="1" si="313"/>
        <v/>
      </c>
      <c r="AA704" s="316" t="str">
        <f t="shared" ca="1" si="314"/>
        <v/>
      </c>
      <c r="AC704" s="310">
        <f t="shared" ca="1" si="315"/>
        <v>34.000000000000171</v>
      </c>
      <c r="AD704" s="323">
        <f t="shared" ca="1" si="316"/>
        <v>859.04729896504011</v>
      </c>
      <c r="AE704" s="324" t="e">
        <f t="shared" ca="1" si="295"/>
        <v>#N/A</v>
      </c>
      <c r="AG704" s="306">
        <f t="shared" ca="1" si="317"/>
        <v>1.9622262237165105</v>
      </c>
      <c r="AH704" s="304">
        <f t="shared" ca="1" si="318"/>
        <v>-7.8008760222825115</v>
      </c>
    </row>
    <row r="705" spans="1:34" x14ac:dyDescent="0.2">
      <c r="A705" s="347">
        <f t="shared" ca="1" si="296"/>
        <v>0.1</v>
      </c>
      <c r="B705" s="304">
        <f t="shared" ca="1" si="297"/>
        <v>34.100000000000172</v>
      </c>
      <c r="D705" s="306">
        <f t="shared" ca="1" si="298"/>
        <v>-0.758395321247465</v>
      </c>
      <c r="E705" s="307">
        <f t="shared" ca="1" si="299"/>
        <v>-2.0083984215803019</v>
      </c>
      <c r="F705" s="304">
        <f t="shared" ca="1" si="300"/>
        <v>2.1468180367921947</v>
      </c>
      <c r="G705" s="306">
        <f t="shared" ca="1" si="301"/>
        <v>10.058208627871572</v>
      </c>
      <c r="H705" s="307">
        <f t="shared" ca="1" si="302"/>
        <v>-104.44964505730867</v>
      </c>
      <c r="I705" s="304">
        <f t="shared" ca="1" si="303"/>
        <v>104.93281618921488</v>
      </c>
      <c r="J705" s="306">
        <f t="shared" ca="1" si="304"/>
        <v>860.05691180443353</v>
      </c>
      <c r="K705" s="307">
        <f t="shared" ca="1" si="305"/>
        <v>1068.8359234482386</v>
      </c>
      <c r="L705" s="304">
        <f t="shared" ca="1" si="290"/>
        <v>1371.8994579764321</v>
      </c>
      <c r="M705" s="306">
        <f t="shared" ca="1" si="306"/>
        <v>-1.474795138483898</v>
      </c>
      <c r="N705" s="304">
        <f t="shared" ca="1" si="307"/>
        <v>-84.499537081539131</v>
      </c>
      <c r="P705" s="310">
        <f t="shared" ca="1" si="308"/>
        <v>23</v>
      </c>
      <c r="Q705" s="304">
        <f t="shared" ca="1" si="309"/>
        <v>0</v>
      </c>
      <c r="R705" s="306">
        <f t="shared" ca="1" si="310"/>
        <v>0</v>
      </c>
      <c r="S705" s="307">
        <f t="shared" ca="1" si="311"/>
        <v>4.9929999999999914</v>
      </c>
      <c r="T705" s="304">
        <f t="shared" ca="1" si="291"/>
        <v>48.981329999999922</v>
      </c>
      <c r="U705" s="311">
        <f t="shared" ca="1" si="292"/>
        <v>0</v>
      </c>
      <c r="V705" s="306">
        <f t="shared" ca="1" si="293"/>
        <v>1.1007098863001825</v>
      </c>
      <c r="W705" s="304">
        <f t="shared" ca="1" si="294"/>
        <v>39.322212283293624</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1.9255977663696031</v>
      </c>
      <c r="AH705" s="304">
        <f t="shared" ca="1" si="318"/>
        <v>-7.8383767867901559</v>
      </c>
    </row>
    <row r="706" spans="1:34" x14ac:dyDescent="0.2">
      <c r="A706" s="347">
        <f t="shared" ca="1" si="296"/>
        <v>0.1</v>
      </c>
      <c r="B706" s="304">
        <f t="shared" ca="1" si="297"/>
        <v>34.200000000000173</v>
      </c>
      <c r="D706" s="306">
        <f t="shared" ca="1" si="298"/>
        <v>-0.75489350414426293</v>
      </c>
      <c r="E706" s="307">
        <f t="shared" ca="1" si="299"/>
        <v>-1.9707950798072185</v>
      </c>
      <c r="F706" s="304">
        <f t="shared" ca="1" si="300"/>
        <v>2.1104258928452202</v>
      </c>
      <c r="G706" s="306">
        <f t="shared" ca="1" si="301"/>
        <v>9.9827192774571465</v>
      </c>
      <c r="H706" s="307">
        <f t="shared" ca="1" si="302"/>
        <v>-104.64672456528939</v>
      </c>
      <c r="I706" s="304">
        <f t="shared" ca="1" si="303"/>
        <v>105.12179434549267</v>
      </c>
      <c r="J706" s="306">
        <f t="shared" ca="1" si="304"/>
        <v>861.05895819969999</v>
      </c>
      <c r="K706" s="307">
        <f t="shared" ca="1" si="305"/>
        <v>1058.3811049671087</v>
      </c>
      <c r="L706" s="304">
        <f t="shared" ca="1" si="290"/>
        <v>1364.4021008659254</v>
      </c>
      <c r="M706" s="306">
        <f t="shared" ca="1" si="306"/>
        <v>-1.4756896493300742</v>
      </c>
      <c r="N706" s="304">
        <f t="shared" ca="1" si="307"/>
        <v>-84.550788777753695</v>
      </c>
      <c r="P706" s="310">
        <f t="shared" ca="1" si="308"/>
        <v>23</v>
      </c>
      <c r="Q706" s="304">
        <f t="shared" ca="1" si="309"/>
        <v>0</v>
      </c>
      <c r="R706" s="306">
        <f t="shared" ca="1" si="310"/>
        <v>0</v>
      </c>
      <c r="S706" s="307">
        <f t="shared" ca="1" si="311"/>
        <v>4.9929999999999914</v>
      </c>
      <c r="T706" s="304">
        <f t="shared" ca="1" si="291"/>
        <v>48.981329999999922</v>
      </c>
      <c r="U706" s="311">
        <f t="shared" ca="1" si="292"/>
        <v>0</v>
      </c>
      <c r="V706" s="306">
        <f t="shared" ca="1" si="293"/>
        <v>1.101864527513096</v>
      </c>
      <c r="W706" s="304">
        <f t="shared" ca="1" si="294"/>
        <v>39.50537163323299</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1.8893609969692529</v>
      </c>
      <c r="AH706" s="304">
        <f t="shared" ca="1" si="318"/>
        <v>-7.8754681120155601</v>
      </c>
    </row>
    <row r="707" spans="1:34" x14ac:dyDescent="0.2">
      <c r="A707" s="347">
        <f t="shared" ca="1" si="296"/>
        <v>0.1</v>
      </c>
      <c r="B707" s="304">
        <f t="shared" ca="1" si="297"/>
        <v>34.300000000000175</v>
      </c>
      <c r="D707" s="306">
        <f t="shared" ca="1" si="298"/>
        <v>-0.75136451185009723</v>
      </c>
      <c r="E707" s="307">
        <f t="shared" ca="1" si="299"/>
        <v>-1.9336055092457034</v>
      </c>
      <c r="F707" s="304">
        <f t="shared" ca="1" si="300"/>
        <v>2.07445869928834</v>
      </c>
      <c r="G707" s="306">
        <f t="shared" ca="1" si="301"/>
        <v>9.9075828262721366</v>
      </c>
      <c r="H707" s="307">
        <f t="shared" ca="1" si="302"/>
        <v>-104.84008511621396</v>
      </c>
      <c r="I707" s="304">
        <f t="shared" ca="1" si="303"/>
        <v>105.30718705119052</v>
      </c>
      <c r="J707" s="306">
        <f t="shared" ca="1" si="304"/>
        <v>862.05347330488644</v>
      </c>
      <c r="K707" s="307">
        <f t="shared" ca="1" si="305"/>
        <v>1047.9067644830336</v>
      </c>
      <c r="L707" s="304">
        <f t="shared" ca="1" si="290"/>
        <v>1356.9247502666899</v>
      </c>
      <c r="M707" s="306">
        <f t="shared" ca="1" si="306"/>
        <v>-1.4765742904962909</v>
      </c>
      <c r="N707" s="304">
        <f t="shared" ca="1" si="307"/>
        <v>-84.601474982961449</v>
      </c>
      <c r="P707" s="310">
        <f t="shared" ca="1" si="308"/>
        <v>23</v>
      </c>
      <c r="Q707" s="304">
        <f t="shared" ca="1" si="309"/>
        <v>0</v>
      </c>
      <c r="R707" s="306">
        <f t="shared" ca="1" si="310"/>
        <v>0</v>
      </c>
      <c r="S707" s="307">
        <f t="shared" ca="1" si="311"/>
        <v>4.9929999999999914</v>
      </c>
      <c r="T707" s="304">
        <f t="shared" ca="1" si="291"/>
        <v>48.981329999999922</v>
      </c>
      <c r="U707" s="311">
        <f t="shared" ca="1" si="292"/>
        <v>0</v>
      </c>
      <c r="V707" s="306">
        <f t="shared" ca="1" si="293"/>
        <v>1.1030224750275073</v>
      </c>
      <c r="W707" s="304">
        <f t="shared" ca="1" si="294"/>
        <v>39.68650047568164</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1.8535149952515289</v>
      </c>
      <c r="AH707" s="304">
        <f t="shared" ca="1" si="318"/>
        <v>-7.9121513385205402</v>
      </c>
    </row>
    <row r="708" spans="1:34" x14ac:dyDescent="0.2">
      <c r="A708" s="347">
        <f t="shared" ca="1" si="296"/>
        <v>0.1</v>
      </c>
      <c r="B708" s="304">
        <f t="shared" ca="1" si="297"/>
        <v>34.400000000000176</v>
      </c>
      <c r="D708" s="306">
        <f t="shared" ca="1" si="298"/>
        <v>-0.74780943167763747</v>
      </c>
      <c r="E708" s="307">
        <f t="shared" ca="1" si="299"/>
        <v>-1.8968282564446319</v>
      </c>
      <c r="F708" s="304">
        <f t="shared" ca="1" si="300"/>
        <v>2.0389154912729497</v>
      </c>
      <c r="G708" s="306">
        <f t="shared" ca="1" si="301"/>
        <v>9.8328018831043735</v>
      </c>
      <c r="H708" s="307">
        <f t="shared" ca="1" si="302"/>
        <v>-105.02976794185842</v>
      </c>
      <c r="I708" s="304">
        <f t="shared" ca="1" si="303"/>
        <v>105.48903330106411</v>
      </c>
      <c r="J708" s="306">
        <f t="shared" ca="1" si="304"/>
        <v>863.04049254035522</v>
      </c>
      <c r="K708" s="307">
        <f t="shared" ca="1" si="305"/>
        <v>1037.41327183013</v>
      </c>
      <c r="L708" s="304">
        <f t="shared" ref="L708:L771" ca="1" si="319">SQRT(pos_x^2+pos_z^2)</f>
        <v>1349.4684836385006</v>
      </c>
      <c r="M708" s="306">
        <f t="shared" ca="1" si="306"/>
        <v>-1.4774492167527433</v>
      </c>
      <c r="N708" s="304">
        <f t="shared" ca="1" si="307"/>
        <v>-84.65160456484135</v>
      </c>
      <c r="P708" s="310">
        <f t="shared" ca="1" si="308"/>
        <v>23</v>
      </c>
      <c r="Q708" s="304">
        <f t="shared" ca="1" si="309"/>
        <v>0</v>
      </c>
      <c r="R708" s="306">
        <f t="shared" ca="1" si="310"/>
        <v>0</v>
      </c>
      <c r="S708" s="307">
        <f t="shared" ca="1" si="311"/>
        <v>4.9929999999999914</v>
      </c>
      <c r="T708" s="304">
        <f t="shared" ref="T708:T771" ca="1" si="320">m*g</f>
        <v>48.981329999999922</v>
      </c>
      <c r="U708" s="311">
        <f t="shared" ref="U708:U771" ca="1" si="321">IF(pos_xz&lt;L_rampe,Poids*COS(Beta),0)</f>
        <v>0</v>
      </c>
      <c r="V708" s="306">
        <f t="shared" ref="V708:V771" ca="1" si="322">Rho_moyen*(20000-Alt_rampe-pos_z)/(20000+Alt_rampe+pos_z)</f>
        <v>1.1041836960589069</v>
      </c>
      <c r="W708" s="304">
        <f t="shared" ref="W708:W771" ca="1" si="323">1/2*Rho*Sref*Cx*vit_xz^2</f>
        <v>39.865606361442794</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1.8180587416204936</v>
      </c>
      <c r="AH708" s="304">
        <f t="shared" ca="1" si="318"/>
        <v>-7.9484278941882049</v>
      </c>
    </row>
    <row r="709" spans="1:34" x14ac:dyDescent="0.2">
      <c r="A709" s="347">
        <f t="shared" ref="A709:A772" ca="1" si="325">IF(B708+0.01&lt;=T_ini+ROUNDUP(Temps_fin_propu,0), 0.01, IF(K708&gt;0, 0.1, 0.0001))</f>
        <v>0.1</v>
      </c>
      <c r="B709" s="304">
        <f t="shared" ref="B709:B772" ca="1" si="326">B708+pas</f>
        <v>34.500000000000178</v>
      </c>
      <c r="D709" s="306">
        <f t="shared" ref="D709:D772" ca="1" si="327">IF(AND(L708&lt;L_rampe,Poussee&lt;Poids*SIN(M708)),0,(-W708+Poussee)/m*COS(M708)-U708/m*SIN(M708))</f>
        <v>-0.7442293350311332</v>
      </c>
      <c r="E709" s="307">
        <f t="shared" ref="E709:E772" ca="1" si="328">IF(AND(L708&lt;L_rampe,Poussee&lt;Poids*SIN(M708)),0,(-W708+Poussee)/m*SIN(M708)+U708/m*COS(M708)-Poids/m)</f>
        <v>-1.8604617826017655</v>
      </c>
      <c r="F709" s="304">
        <f t="shared" ref="F709:F772" ca="1" si="329">SQRT(acc_x^2+acc_z^2)</f>
        <v>2.0037952359566638</v>
      </c>
      <c r="G709" s="306">
        <f t="shared" ref="G709:G772" ca="1" si="330">G708+acc_x*pas</f>
        <v>9.7583789496012603</v>
      </c>
      <c r="H709" s="307">
        <f t="shared" ref="H709:H772" ca="1" si="331">H708+acc_z*pas</f>
        <v>-105.21581412011859</v>
      </c>
      <c r="I709" s="304">
        <f t="shared" ref="I709:I772" ca="1" si="332">SQRT(vit_x^2+vit_z^2)</f>
        <v>105.66737197774613</v>
      </c>
      <c r="J709" s="306">
        <f t="shared" ref="J709:J772" ca="1" si="333">J708+0.5*(vit_x+G708)*pas*(K708&gt;=0)</f>
        <v>864.02005158199051</v>
      </c>
      <c r="K709" s="307">
        <f t="shared" ref="K709:K772" ca="1" si="334">K708+0.5*(vit_z+H708)*pas</f>
        <v>1026.9009927270313</v>
      </c>
      <c r="L709" s="304">
        <f t="shared" ca="1" si="319"/>
        <v>1342.0343879347906</v>
      </c>
      <c r="M709" s="306">
        <f t="shared" ref="M709:M772" ca="1" si="335">IF(AND(L708&gt;L_rampe,G709&gt;0),ATAN2(G709,H709),$M$4)</f>
        <v>-1.4783145793727546</v>
      </c>
      <c r="N709" s="304">
        <f t="shared" ref="N709:N772" ca="1" si="336">DEGREES(Beta)</f>
        <v>-84.701186190716385</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4.9929999999999914</v>
      </c>
      <c r="T709" s="304">
        <f t="shared" ca="1" si="320"/>
        <v>48.981329999999922</v>
      </c>
      <c r="U709" s="311">
        <f t="shared" ca="1" si="321"/>
        <v>0</v>
      </c>
      <c r="V709" s="306">
        <f t="shared" ca="1" si="322"/>
        <v>1.1053481581498172</v>
      </c>
      <c r="W709" s="304">
        <f t="shared" ca="1" si="323"/>
        <v>40.042697248292541</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1.7829911204855717</v>
      </c>
      <c r="AH709" s="304">
        <f t="shared" ref="AH709:AH772" ca="1" si="347">IF(AND(L708&lt;L_rampe,Poussee&lt;Poids*SIN(M708)), g*SIN(M708), (-W708+Poussee)/m)</f>
        <v>-7.984299291296387</v>
      </c>
    </row>
    <row r="710" spans="1:34" x14ac:dyDescent="0.2">
      <c r="A710" s="347">
        <f t="shared" ca="1" si="325"/>
        <v>0.1</v>
      </c>
      <c r="B710" s="304">
        <f t="shared" ca="1" si="326"/>
        <v>34.600000000000179</v>
      </c>
      <c r="D710" s="306">
        <f t="shared" ca="1" si="327"/>
        <v>-0.74062527736975159</v>
      </c>
      <c r="E710" s="307">
        <f t="shared" ca="1" si="328"/>
        <v>-1.8245044664840409</v>
      </c>
      <c r="F710" s="304">
        <f t="shared" ca="1" si="329"/>
        <v>1.9690968360391106</v>
      </c>
      <c r="G710" s="306">
        <f t="shared" ca="1" si="330"/>
        <v>9.6843164218642848</v>
      </c>
      <c r="H710" s="307">
        <f t="shared" ca="1" si="331"/>
        <v>-105.398264566767</v>
      </c>
      <c r="I710" s="304">
        <f t="shared" ca="1" si="332"/>
        <v>105.84224184249406</v>
      </c>
      <c r="J710" s="306">
        <f t="shared" ca="1" si="333"/>
        <v>864.99218635056377</v>
      </c>
      <c r="K710" s="307">
        <f t="shared" ca="1" si="334"/>
        <v>1016.370288792687</v>
      </c>
      <c r="L710" s="304">
        <f t="shared" ca="1" si="319"/>
        <v>1334.6235598055575</v>
      </c>
      <c r="M710" s="306">
        <f t="shared" ca="1" si="335"/>
        <v>-1.4791705262329373</v>
      </c>
      <c r="N710" s="304">
        <f t="shared" ca="1" si="336"/>
        <v>-84.750228333292327</v>
      </c>
      <c r="P710" s="310">
        <f t="shared" ca="1" si="337"/>
        <v>23</v>
      </c>
      <c r="Q710" s="304">
        <f t="shared" ca="1" si="338"/>
        <v>0</v>
      </c>
      <c r="R710" s="306">
        <f t="shared" ca="1" si="339"/>
        <v>0</v>
      </c>
      <c r="S710" s="307">
        <f t="shared" ca="1" si="340"/>
        <v>4.9929999999999914</v>
      </c>
      <c r="T710" s="304">
        <f t="shared" ca="1" si="320"/>
        <v>48.981329999999922</v>
      </c>
      <c r="U710" s="311">
        <f t="shared" ca="1" si="321"/>
        <v>0</v>
      </c>
      <c r="V710" s="306">
        <f t="shared" ca="1" si="322"/>
        <v>1.1065158291691324</v>
      </c>
      <c r="W710" s="304">
        <f t="shared" ca="1" si="323"/>
        <v>40.21778148677609</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1.7483109235421335</v>
      </c>
      <c r="AH710" s="304">
        <f t="shared" ca="1" si="347"/>
        <v>-8.0197671236316062</v>
      </c>
    </row>
    <row r="711" spans="1:34" x14ac:dyDescent="0.2">
      <c r="A711" s="347">
        <f t="shared" ca="1" si="325"/>
        <v>0.1</v>
      </c>
      <c r="B711" s="304">
        <f t="shared" ca="1" si="326"/>
        <v>34.70000000000018</v>
      </c>
      <c r="D711" s="306">
        <f t="shared" ca="1" si="327"/>
        <v>-0.73699829818143736</v>
      </c>
      <c r="E711" s="307">
        <f t="shared" ca="1" si="328"/>
        <v>-1.7889546073061258</v>
      </c>
      <c r="F711" s="304">
        <f t="shared" ca="1" si="329"/>
        <v>1.9348191332845945</v>
      </c>
      <c r="G711" s="306">
        <f t="shared" ca="1" si="330"/>
        <v>9.6106165920461404</v>
      </c>
      <c r="H711" s="307">
        <f t="shared" ca="1" si="331"/>
        <v>-105.57716002749761</v>
      </c>
      <c r="I711" s="304">
        <f t="shared" ca="1" si="332"/>
        <v>106.01368152625939</v>
      </c>
      <c r="J711" s="306">
        <f t="shared" ca="1" si="333"/>
        <v>865.95693300125924</v>
      </c>
      <c r="K711" s="307">
        <f t="shared" ca="1" si="334"/>
        <v>1005.8215175629738</v>
      </c>
      <c r="L711" s="304">
        <f t="shared" ca="1" si="319"/>
        <v>1327.2371057974649</v>
      </c>
      <c r="M711" s="306">
        <f t="shared" ca="1" si="335"/>
        <v>-1.48001720190999</v>
      </c>
      <c r="N711" s="304">
        <f t="shared" ca="1" si="336"/>
        <v>-84.798739276203833</v>
      </c>
      <c r="P711" s="310">
        <f t="shared" ca="1" si="337"/>
        <v>23</v>
      </c>
      <c r="Q711" s="304">
        <f t="shared" ca="1" si="338"/>
        <v>0</v>
      </c>
      <c r="R711" s="306">
        <f t="shared" ca="1" si="339"/>
        <v>0</v>
      </c>
      <c r="S711" s="307">
        <f t="shared" ca="1" si="340"/>
        <v>4.9929999999999914</v>
      </c>
      <c r="T711" s="304">
        <f t="shared" ca="1" si="320"/>
        <v>48.981329999999922</v>
      </c>
      <c r="U711" s="311">
        <f t="shared" ca="1" si="321"/>
        <v>0</v>
      </c>
      <c r="V711" s="306">
        <f t="shared" ca="1" si="322"/>
        <v>1.1076866773113865</v>
      </c>
      <c r="W711" s="304">
        <f t="shared" ca="1" si="323"/>
        <v>40.390867806213606</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1.7140168529951492</v>
      </c>
      <c r="AH711" s="304">
        <f t="shared" ca="1" si="347"/>
        <v>-8.0548330636443346</v>
      </c>
    </row>
    <row r="712" spans="1:34" x14ac:dyDescent="0.2">
      <c r="A712" s="347">
        <f t="shared" ca="1" si="325"/>
        <v>0.1</v>
      </c>
      <c r="B712" s="304">
        <f t="shared" ca="1" si="326"/>
        <v>34.800000000000182</v>
      </c>
      <c r="D712" s="306">
        <f t="shared" ca="1" si="327"/>
        <v>-0.73334942096692579</v>
      </c>
      <c r="E712" s="307">
        <f t="shared" ca="1" si="328"/>
        <v>-1.7538104275665614</v>
      </c>
      <c r="F712" s="304">
        <f t="shared" ca="1" si="329"/>
        <v>1.9009609120320519</v>
      </c>
      <c r="G712" s="306">
        <f t="shared" ca="1" si="330"/>
        <v>9.5372816499494473</v>
      </c>
      <c r="H712" s="307">
        <f t="shared" ca="1" si="331"/>
        <v>-105.75254107025427</v>
      </c>
      <c r="I712" s="304">
        <f t="shared" ca="1" si="332"/>
        <v>106.18172952107287</v>
      </c>
      <c r="J712" s="306">
        <f t="shared" ca="1" si="333"/>
        <v>866.91432791335899</v>
      </c>
      <c r="K712" s="307">
        <f t="shared" ca="1" si="334"/>
        <v>995.25503250808617</v>
      </c>
      <c r="L712" s="304">
        <f t="shared" ca="1" si="319"/>
        <v>1319.8761425505586</v>
      </c>
      <c r="M712" s="306">
        <f t="shared" ca="1" si="335"/>
        <v>-1.4808547477742566</v>
      </c>
      <c r="N712" s="304">
        <f t="shared" ca="1" si="336"/>
        <v>-84.846727119374947</v>
      </c>
      <c r="P712" s="310">
        <f t="shared" ca="1" si="337"/>
        <v>23</v>
      </c>
      <c r="Q712" s="304">
        <f t="shared" ca="1" si="338"/>
        <v>0</v>
      </c>
      <c r="R712" s="306">
        <f t="shared" ca="1" si="339"/>
        <v>0</v>
      </c>
      <c r="S712" s="307">
        <f t="shared" ca="1" si="340"/>
        <v>4.9929999999999914</v>
      </c>
      <c r="T712" s="304">
        <f t="shared" ca="1" si="320"/>
        <v>48.981329999999922</v>
      </c>
      <c r="U712" s="311">
        <f t="shared" ca="1" si="321"/>
        <v>0</v>
      </c>
      <c r="V712" s="306">
        <f t="shared" ca="1" si="322"/>
        <v>1.108860671095953</v>
      </c>
      <c r="W712" s="304">
        <f t="shared" ca="1" si="323"/>
        <v>40.561965300919141</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1.680107524726024</v>
      </c>
      <c r="AH712" s="304">
        <f t="shared" ca="1" si="347"/>
        <v>-8.0894988596462394</v>
      </c>
    </row>
    <row r="713" spans="1:34" x14ac:dyDescent="0.2">
      <c r="A713" s="347">
        <f t="shared" ca="1" si="325"/>
        <v>0.1</v>
      </c>
      <c r="B713" s="304">
        <f t="shared" ca="1" si="326"/>
        <v>34.900000000000183</v>
      </c>
      <c r="D713" s="306">
        <f t="shared" ca="1" si="327"/>
        <v>-0.72967965323355877</v>
      </c>
      <c r="E713" s="307">
        <f t="shared" ca="1" si="328"/>
        <v>-1.7190700758407633</v>
      </c>
      <c r="F713" s="304">
        <f t="shared" ca="1" si="329"/>
        <v>1.8675209026927153</v>
      </c>
      <c r="G713" s="306">
        <f t="shared" ca="1" si="330"/>
        <v>9.4643136846260916</v>
      </c>
      <c r="H713" s="307">
        <f t="shared" ca="1" si="331"/>
        <v>-105.92444807783835</v>
      </c>
      <c r="I713" s="304">
        <f t="shared" ca="1" si="332"/>
        <v>106.34642417174014</v>
      </c>
      <c r="J713" s="306">
        <f t="shared" ca="1" si="333"/>
        <v>867.86440768008777</v>
      </c>
      <c r="K713" s="307">
        <f t="shared" ca="1" si="334"/>
        <v>984.67118305068152</v>
      </c>
      <c r="L713" s="304">
        <f t="shared" ca="1" si="319"/>
        <v>1312.5417969909904</v>
      </c>
      <c r="M713" s="306">
        <f t="shared" ca="1" si="335"/>
        <v>-1.4816833020801761</v>
      </c>
      <c r="N713" s="304">
        <f t="shared" ca="1" si="336"/>
        <v>-84.894199784201518</v>
      </c>
      <c r="P713" s="310">
        <f t="shared" ca="1" si="337"/>
        <v>23</v>
      </c>
      <c r="Q713" s="304">
        <f t="shared" ca="1" si="338"/>
        <v>0</v>
      </c>
      <c r="R713" s="306">
        <f t="shared" ca="1" si="339"/>
        <v>0</v>
      </c>
      <c r="S713" s="307">
        <f t="shared" ca="1" si="340"/>
        <v>4.9929999999999914</v>
      </c>
      <c r="T713" s="304">
        <f t="shared" ca="1" si="320"/>
        <v>48.981329999999922</v>
      </c>
      <c r="U713" s="311">
        <f t="shared" ca="1" si="321"/>
        <v>0</v>
      </c>
      <c r="V713" s="306">
        <f t="shared" ca="1" si="322"/>
        <v>1.1100377793661738</v>
      </c>
      <c r="W713" s="304">
        <f t="shared" ca="1" si="323"/>
        <v>40.731083416635457</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1.6465814714024916</v>
      </c>
      <c r="AH713" s="304">
        <f t="shared" ca="1" si="347"/>
        <v>-8.1237663330501118</v>
      </c>
    </row>
    <row r="714" spans="1:34" x14ac:dyDescent="0.2">
      <c r="A714" s="347">
        <f t="shared" ca="1" si="325"/>
        <v>0.1</v>
      </c>
      <c r="B714" s="304">
        <f t="shared" ca="1" si="326"/>
        <v>35.000000000000185</v>
      </c>
      <c r="D714" s="306">
        <f t="shared" ca="1" si="327"/>
        <v>-0.72598998649854496</v>
      </c>
      <c r="E714" s="307">
        <f t="shared" ca="1" si="328"/>
        <v>-1.6847316295303258</v>
      </c>
      <c r="F714" s="304">
        <f t="shared" ca="1" si="329"/>
        <v>1.8344977852360751</v>
      </c>
      <c r="G714" s="306">
        <f t="shared" ca="1" si="330"/>
        <v>9.3917146859762379</v>
      </c>
      <c r="H714" s="307">
        <f t="shared" ca="1" si="331"/>
        <v>-106.09292124079138</v>
      </c>
      <c r="I714" s="304">
        <f t="shared" ca="1" si="332"/>
        <v>106.50780366784186</v>
      </c>
      <c r="J714" s="306">
        <f t="shared" ca="1" si="333"/>
        <v>868.80720909861793</v>
      </c>
      <c r="K714" s="307">
        <f t="shared" ca="1" si="334"/>
        <v>974.07031458475001</v>
      </c>
      <c r="L714" s="304">
        <f t="shared" ca="1" si="319"/>
        <v>1305.2352065191021</v>
      </c>
      <c r="M714" s="306">
        <f t="shared" ca="1" si="335"/>
        <v>-1.4825030000537345</v>
      </c>
      <c r="N714" s="304">
        <f t="shared" ca="1" si="336"/>
        <v>-84.941165018561847</v>
      </c>
      <c r="P714" s="310">
        <f t="shared" ca="1" si="337"/>
        <v>23</v>
      </c>
      <c r="Q714" s="304">
        <f t="shared" ca="1" si="338"/>
        <v>0</v>
      </c>
      <c r="R714" s="306">
        <f t="shared" ca="1" si="339"/>
        <v>0</v>
      </c>
      <c r="S714" s="307">
        <f t="shared" ca="1" si="340"/>
        <v>4.9929999999999914</v>
      </c>
      <c r="T714" s="304">
        <f t="shared" ca="1" si="320"/>
        <v>48.981329999999922</v>
      </c>
      <c r="U714" s="311">
        <f t="shared" ca="1" si="321"/>
        <v>0</v>
      </c>
      <c r="V714" s="306">
        <f t="shared" ca="1" si="322"/>
        <v>1.1112179712884267</v>
      </c>
      <c r="W714" s="304">
        <f t="shared" ca="1" si="323"/>
        <v>40.898231937187369</v>
      </c>
      <c r="Y714" s="314" t="str">
        <f t="shared" ca="1" si="341"/>
        <v/>
      </c>
      <c r="Z714" s="315" t="str">
        <f t="shared" ca="1" si="342"/>
        <v/>
      </c>
      <c r="AA714" s="316" t="str">
        <f t="shared" ca="1" si="343"/>
        <v/>
      </c>
      <c r="AC714" s="310">
        <f t="shared" ca="1" si="344"/>
        <v>35.000000000000185</v>
      </c>
      <c r="AD714" s="323">
        <f t="shared" ca="1" si="345"/>
        <v>868.80720909861793</v>
      </c>
      <c r="AE714" s="324" t="e">
        <f t="shared" ca="1" si="324"/>
        <v>#N/A</v>
      </c>
      <c r="AG714" s="306">
        <f t="shared" ca="1" si="346"/>
        <v>1.613437145531714</v>
      </c>
      <c r="AH714" s="304">
        <f t="shared" ca="1" si="347"/>
        <v>-8.1576373756530192</v>
      </c>
    </row>
    <row r="715" spans="1:34" x14ac:dyDescent="0.2">
      <c r="A715" s="347">
        <f t="shared" ca="1" si="325"/>
        <v>0.1</v>
      </c>
      <c r="B715" s="304">
        <f t="shared" ca="1" si="326"/>
        <v>35.100000000000186</v>
      </c>
      <c r="D715" s="306">
        <f t="shared" ca="1" si="327"/>
        <v>-0.72228139630135579</v>
      </c>
      <c r="E715" s="307">
        <f t="shared" ca="1" si="328"/>
        <v>-1.6507930975680853</v>
      </c>
      <c r="F715" s="304">
        <f t="shared" ca="1" si="329"/>
        <v>1.8018901926647668</v>
      </c>
      <c r="G715" s="306">
        <f t="shared" ca="1" si="330"/>
        <v>9.3194865463461021</v>
      </c>
      <c r="H715" s="307">
        <f t="shared" ca="1" si="331"/>
        <v>-106.25800055054819</v>
      </c>
      <c r="I715" s="304">
        <f t="shared" ca="1" si="332"/>
        <v>106.66590603603302</v>
      </c>
      <c r="J715" s="306">
        <f t="shared" ca="1" si="333"/>
        <v>869.74276916023405</v>
      </c>
      <c r="K715" s="307">
        <f t="shared" ca="1" si="334"/>
        <v>963.45276849518302</v>
      </c>
      <c r="L715" s="304">
        <f t="shared" ca="1" si="319"/>
        <v>1297.9575191921904</v>
      </c>
      <c r="M715" s="306">
        <f t="shared" ca="1" si="335"/>
        <v>-1.4833139739770411</v>
      </c>
      <c r="N715" s="304">
        <f t="shared" ca="1" si="336"/>
        <v>-84.987630401662472</v>
      </c>
      <c r="P715" s="310">
        <f t="shared" ca="1" si="337"/>
        <v>23</v>
      </c>
      <c r="Q715" s="304">
        <f t="shared" ca="1" si="338"/>
        <v>0</v>
      </c>
      <c r="R715" s="306">
        <f t="shared" ca="1" si="339"/>
        <v>0</v>
      </c>
      <c r="S715" s="307">
        <f t="shared" ca="1" si="340"/>
        <v>4.9929999999999914</v>
      </c>
      <c r="T715" s="304">
        <f t="shared" ca="1" si="320"/>
        <v>48.981329999999922</v>
      </c>
      <c r="U715" s="311">
        <f t="shared" ca="1" si="321"/>
        <v>0</v>
      </c>
      <c r="V715" s="306">
        <f t="shared" ca="1" si="322"/>
        <v>1.1124012163511252</v>
      </c>
      <c r="W715" s="304">
        <f t="shared" ca="1" si="323"/>
        <v>41.063420971355931</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1.580672922456607</v>
      </c>
      <c r="AH715" s="304">
        <f t="shared" ca="1" si="347"/>
        <v>-8.1911139469632364</v>
      </c>
    </row>
    <row r="716" spans="1:34" x14ac:dyDescent="0.2">
      <c r="A716" s="347">
        <f t="shared" ca="1" si="325"/>
        <v>0.1</v>
      </c>
      <c r="B716" s="304">
        <f t="shared" ca="1" si="326"/>
        <v>35.200000000000188</v>
      </c>
      <c r="D716" s="306">
        <f t="shared" ca="1" si="327"/>
        <v>-0.71855484222487587</v>
      </c>
      <c r="E716" s="307">
        <f t="shared" ca="1" si="328"/>
        <v>-1.6172524230784511</v>
      </c>
      <c r="F716" s="304">
        <f t="shared" ca="1" si="329"/>
        <v>1.7696967144790483</v>
      </c>
      <c r="G716" s="306">
        <f t="shared" ca="1" si="330"/>
        <v>9.2476310621236149</v>
      </c>
      <c r="H716" s="307">
        <f t="shared" ca="1" si="331"/>
        <v>-106.41972579285603</v>
      </c>
      <c r="I716" s="304">
        <f t="shared" ca="1" si="332"/>
        <v>106.82076913263553</v>
      </c>
      <c r="J716" s="306">
        <f t="shared" ca="1" si="333"/>
        <v>870.67112504065756</v>
      </c>
      <c r="K716" s="307">
        <f t="shared" ca="1" si="334"/>
        <v>952.81888217801281</v>
      </c>
      <c r="L716" s="304">
        <f t="shared" ca="1" si="319"/>
        <v>1290.7098939012292</v>
      </c>
      <c r="M716" s="306">
        <f t="shared" ca="1" si="335"/>
        <v>-1.4841163532701294</v>
      </c>
      <c r="N716" s="304">
        <f t="shared" ca="1" si="336"/>
        <v>-85.033603348725123</v>
      </c>
      <c r="P716" s="310">
        <f t="shared" ca="1" si="337"/>
        <v>23</v>
      </c>
      <c r="Q716" s="304">
        <f t="shared" ca="1" si="338"/>
        <v>0</v>
      </c>
      <c r="R716" s="306">
        <f t="shared" ca="1" si="339"/>
        <v>0</v>
      </c>
      <c r="S716" s="307">
        <f t="shared" ca="1" si="340"/>
        <v>4.9929999999999914</v>
      </c>
      <c r="T716" s="304">
        <f t="shared" ca="1" si="320"/>
        <v>48.981329999999922</v>
      </c>
      <c r="U716" s="311">
        <f t="shared" ca="1" si="321"/>
        <v>0</v>
      </c>
      <c r="V716" s="306">
        <f t="shared" ca="1" si="322"/>
        <v>1.1135874843636564</v>
      </c>
      <c r="W716" s="304">
        <f t="shared" ca="1" si="323"/>
        <v>41.226660939975268</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1.5482871032954932</v>
      </c>
      <c r="AH716" s="304">
        <f t="shared" ca="1" si="347"/>
        <v>-8.2241980715714007</v>
      </c>
    </row>
    <row r="717" spans="1:34" x14ac:dyDescent="0.2">
      <c r="A717" s="347">
        <f t="shared" ca="1" si="325"/>
        <v>0.1</v>
      </c>
      <c r="B717" s="304">
        <f t="shared" ca="1" si="326"/>
        <v>35.300000000000189</v>
      </c>
      <c r="D717" s="306">
        <f t="shared" ca="1" si="327"/>
        <v>-0.71481126792502059</v>
      </c>
      <c r="E717" s="307">
        <f t="shared" ca="1" si="328"/>
        <v>-1.5841074859926607</v>
      </c>
      <c r="F717" s="304">
        <f t="shared" ca="1" si="329"/>
        <v>1.7379159001316959</v>
      </c>
      <c r="G717" s="306">
        <f t="shared" ca="1" si="330"/>
        <v>9.1761499353311127</v>
      </c>
      <c r="H717" s="307">
        <f t="shared" ca="1" si="331"/>
        <v>-106.57813654145529</v>
      </c>
      <c r="I717" s="304">
        <f t="shared" ca="1" si="332"/>
        <v>106.97243063651851</v>
      </c>
      <c r="J717" s="306">
        <f t="shared" ca="1" si="333"/>
        <v>871.59231409053029</v>
      </c>
      <c r="K717" s="307">
        <f t="shared" ca="1" si="334"/>
        <v>942.16898906129722</v>
      </c>
      <c r="L717" s="304">
        <f t="shared" ca="1" si="319"/>
        <v>1283.4935005407983</v>
      </c>
      <c r="M717" s="306">
        <f t="shared" ca="1" si="335"/>
        <v>-1.484910264570094</v>
      </c>
      <c r="N717" s="304">
        <f t="shared" ca="1" si="336"/>
        <v>-85.079091115520839</v>
      </c>
      <c r="P717" s="310">
        <f t="shared" ca="1" si="337"/>
        <v>23</v>
      </c>
      <c r="Q717" s="304">
        <f t="shared" ca="1" si="338"/>
        <v>0</v>
      </c>
      <c r="R717" s="306">
        <f t="shared" ca="1" si="339"/>
        <v>0</v>
      </c>
      <c r="S717" s="307">
        <f t="shared" ca="1" si="340"/>
        <v>4.9929999999999914</v>
      </c>
      <c r="T717" s="304">
        <f t="shared" ca="1" si="320"/>
        <v>48.981329999999922</v>
      </c>
      <c r="U717" s="311">
        <f t="shared" ca="1" si="321"/>
        <v>0</v>
      </c>
      <c r="V717" s="306">
        <f t="shared" ca="1" si="322"/>
        <v>1.1147767454552642</v>
      </c>
      <c r="W717" s="304">
        <f t="shared" ca="1" si="323"/>
        <v>41.387962563254071</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1.5162779178253043</v>
      </c>
      <c r="AH717" s="304">
        <f t="shared" ca="1" si="347"/>
        <v>-8.2568918365662611</v>
      </c>
    </row>
    <row r="718" spans="1:34" x14ac:dyDescent="0.2">
      <c r="A718" s="347">
        <f t="shared" ca="1" si="325"/>
        <v>0.1</v>
      </c>
      <c r="B718" s="304">
        <f t="shared" ca="1" si="326"/>
        <v>35.40000000000019</v>
      </c>
      <c r="D718" s="306">
        <f t="shared" ca="1" si="327"/>
        <v>-0.71105160116844712</v>
      </c>
      <c r="E718" s="307">
        <f t="shared" ca="1" si="328"/>
        <v>-1.551356105618531</v>
      </c>
      <c r="F718" s="304">
        <f t="shared" ca="1" si="329"/>
        <v>1.7065462624740377</v>
      </c>
      <c r="G718" s="306">
        <f t="shared" ca="1" si="330"/>
        <v>9.1050447752142674</v>
      </c>
      <c r="H718" s="307">
        <f t="shared" ca="1" si="331"/>
        <v>-106.73327215201715</v>
      </c>
      <c r="I718" s="304">
        <f t="shared" ca="1" si="332"/>
        <v>107.1209280422608</v>
      </c>
      <c r="J718" s="306">
        <f t="shared" ca="1" si="333"/>
        <v>872.5063738260576</v>
      </c>
      <c r="K718" s="307">
        <f t="shared" ca="1" si="334"/>
        <v>931.50341862662356</v>
      </c>
      <c r="L718" s="304">
        <f t="shared" ca="1" si="319"/>
        <v>1276.3095201714132</v>
      </c>
      <c r="M718" s="306">
        <f t="shared" ca="1" si="335"/>
        <v>-1.4856958318076565</v>
      </c>
      <c r="N718" s="304">
        <f t="shared" ca="1" si="336"/>
        <v>-85.124100802756928</v>
      </c>
      <c r="P718" s="310">
        <f t="shared" ca="1" si="337"/>
        <v>23</v>
      </c>
      <c r="Q718" s="304">
        <f t="shared" ca="1" si="338"/>
        <v>0</v>
      </c>
      <c r="R718" s="306">
        <f t="shared" ca="1" si="339"/>
        <v>0</v>
      </c>
      <c r="S718" s="307">
        <f t="shared" ca="1" si="340"/>
        <v>4.9929999999999914</v>
      </c>
      <c r="T718" s="304">
        <f t="shared" ca="1" si="320"/>
        <v>48.981329999999922</v>
      </c>
      <c r="U718" s="311">
        <f t="shared" ca="1" si="321"/>
        <v>0</v>
      </c>
      <c r="V718" s="306">
        <f t="shared" ca="1" si="322"/>
        <v>1.1159689700738673</v>
      </c>
      <c r="W718" s="304">
        <f t="shared" ca="1" si="323"/>
        <v>41.547336848322907</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1.4846435273083944</v>
      </c>
      <c r="AH718" s="304">
        <f t="shared" ca="1" si="347"/>
        <v>-8.2891973889954222</v>
      </c>
    </row>
    <row r="719" spans="1:34" x14ac:dyDescent="0.2">
      <c r="A719" s="347">
        <f t="shared" ca="1" si="325"/>
        <v>0.1</v>
      </c>
      <c r="B719" s="304">
        <f t="shared" ca="1" si="326"/>
        <v>35.500000000000192</v>
      </c>
      <c r="D719" s="306">
        <f t="shared" ca="1" si="327"/>
        <v>-0.70727675387809774</v>
      </c>
      <c r="E719" s="307">
        <f t="shared" ca="1" si="328"/>
        <v>-1.5189960431644636</v>
      </c>
      <c r="F719" s="304">
        <f t="shared" ca="1" si="329"/>
        <v>1.6755862811940292</v>
      </c>
      <c r="G719" s="306">
        <f t="shared" ca="1" si="330"/>
        <v>9.0343170998264579</v>
      </c>
      <c r="H719" s="307">
        <f t="shared" ca="1" si="331"/>
        <v>-106.88517175633359</v>
      </c>
      <c r="I719" s="304">
        <f t="shared" ca="1" si="332"/>
        <v>107.26629865358993</v>
      </c>
      <c r="J719" s="306">
        <f t="shared" ca="1" si="333"/>
        <v>873.41334191980968</v>
      </c>
      <c r="K719" s="307">
        <f t="shared" ca="1" si="334"/>
        <v>920.82249643120599</v>
      </c>
      <c r="L719" s="304">
        <f t="shared" ca="1" si="319"/>
        <v>1269.1591451734212</v>
      </c>
      <c r="M719" s="306">
        <f t="shared" ca="1" si="335"/>
        <v>-1.4864731762812617</v>
      </c>
      <c r="N719" s="304">
        <f t="shared" ca="1" si="336"/>
        <v>-85.168639360322331</v>
      </c>
      <c r="P719" s="310">
        <f t="shared" ca="1" si="337"/>
        <v>23</v>
      </c>
      <c r="Q719" s="304">
        <f t="shared" ca="1" si="338"/>
        <v>0</v>
      </c>
      <c r="R719" s="306">
        <f t="shared" ca="1" si="339"/>
        <v>0</v>
      </c>
      <c r="S719" s="307">
        <f t="shared" ca="1" si="340"/>
        <v>4.9929999999999914</v>
      </c>
      <c r="T719" s="304">
        <f t="shared" ca="1" si="320"/>
        <v>48.981329999999922</v>
      </c>
      <c r="U719" s="311">
        <f t="shared" ca="1" si="321"/>
        <v>0</v>
      </c>
      <c r="V719" s="306">
        <f t="shared" ca="1" si="322"/>
        <v>1.1171641289848284</v>
      </c>
      <c r="W719" s="304">
        <f t="shared" ca="1" si="323"/>
        <v>41.704795077008704</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1.4533820272632489</v>
      </c>
      <c r="AH719" s="304">
        <f t="shared" ca="1" si="347"/>
        <v>-8.3211169333713162</v>
      </c>
    </row>
    <row r="720" spans="1:34" x14ac:dyDescent="0.2">
      <c r="A720" s="347">
        <f t="shared" ca="1" si="325"/>
        <v>0.1</v>
      </c>
      <c r="B720" s="304">
        <f t="shared" ca="1" si="326"/>
        <v>35.600000000000193</v>
      </c>
      <c r="D720" s="306">
        <f t="shared" ca="1" si="327"/>
        <v>-0.70348762218619643</v>
      </c>
      <c r="E720" s="307">
        <f t="shared" ca="1" si="328"/>
        <v>-1.4870250042174415</v>
      </c>
      <c r="F720" s="304">
        <f t="shared" ca="1" si="329"/>
        <v>1.645034406247198</v>
      </c>
      <c r="G720" s="306">
        <f t="shared" ca="1" si="330"/>
        <v>8.9639683376078381</v>
      </c>
      <c r="H720" s="307">
        <f t="shared" ca="1" si="331"/>
        <v>-107.03387425675534</v>
      </c>
      <c r="I720" s="304">
        <f t="shared" ca="1" si="332"/>
        <v>107.40857957709221</v>
      </c>
      <c r="J720" s="306">
        <f t="shared" ca="1" si="333"/>
        <v>874.31325619168138</v>
      </c>
      <c r="K720" s="307">
        <f t="shared" ca="1" si="334"/>
        <v>910.12654413055157</v>
      </c>
      <c r="L720" s="304">
        <f t="shared" ca="1" si="319"/>
        <v>1262.043579391584</v>
      </c>
      <c r="M720" s="306">
        <f t="shared" ca="1" si="335"/>
        <v>-1.4872424167287899</v>
      </c>
      <c r="N720" s="304">
        <f t="shared" ca="1" si="336"/>
        <v>-85.212713591396437</v>
      </c>
      <c r="P720" s="310">
        <f t="shared" ca="1" si="337"/>
        <v>23</v>
      </c>
      <c r="Q720" s="304">
        <f t="shared" ca="1" si="338"/>
        <v>0</v>
      </c>
      <c r="R720" s="306">
        <f t="shared" ca="1" si="339"/>
        <v>0</v>
      </c>
      <c r="S720" s="307">
        <f t="shared" ca="1" si="340"/>
        <v>4.9929999999999914</v>
      </c>
      <c r="T720" s="304">
        <f t="shared" ca="1" si="320"/>
        <v>48.981329999999922</v>
      </c>
      <c r="U720" s="311">
        <f t="shared" ca="1" si="321"/>
        <v>0</v>
      </c>
      <c r="V720" s="306">
        <f t="shared" ca="1" si="322"/>
        <v>1.1183621932696648</v>
      </c>
      <c r="W720" s="304">
        <f t="shared" ca="1" si="323"/>
        <v>41.860348793837225</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1.4224914501792991</v>
      </c>
      <c r="AH720" s="304">
        <f t="shared" ca="1" si="347"/>
        <v>-8.3526527292226671</v>
      </c>
    </row>
    <row r="721" spans="1:34" x14ac:dyDescent="0.2">
      <c r="A721" s="347">
        <f t="shared" ca="1" si="325"/>
        <v>0.1</v>
      </c>
      <c r="B721" s="304">
        <f t="shared" ca="1" si="326"/>
        <v>35.700000000000195</v>
      </c>
      <c r="D721" s="306">
        <f t="shared" ca="1" si="327"/>
        <v>-0.69968508649445205</v>
      </c>
      <c r="E721" s="307">
        <f t="shared" ca="1" si="328"/>
        <v>-1.45544064117483</v>
      </c>
      <c r="F721" s="304">
        <f t="shared" ca="1" si="329"/>
        <v>1.6148890612813467</v>
      </c>
      <c r="G721" s="306">
        <f t="shared" ca="1" si="330"/>
        <v>8.8939998289583926</v>
      </c>
      <c r="H721" s="307">
        <f t="shared" ca="1" si="331"/>
        <v>-107.17941832087283</v>
      </c>
      <c r="I721" s="304">
        <f t="shared" ca="1" si="332"/>
        <v>107.54780771618807</v>
      </c>
      <c r="J721" s="306">
        <f t="shared" ca="1" si="333"/>
        <v>875.20615460000965</v>
      </c>
      <c r="K721" s="307">
        <f t="shared" ca="1" si="334"/>
        <v>899.41587950167013</v>
      </c>
      <c r="L721" s="304">
        <f t="shared" ca="1" si="319"/>
        <v>1254.9640382694233</v>
      </c>
      <c r="M721" s="306">
        <f t="shared" ca="1" si="335"/>
        <v>-1.4880036693969791</v>
      </c>
      <c r="N721" s="304">
        <f t="shared" ca="1" si="336"/>
        <v>-85.256330156426756</v>
      </c>
      <c r="P721" s="310">
        <f t="shared" ca="1" si="337"/>
        <v>23</v>
      </c>
      <c r="Q721" s="304">
        <f t="shared" ca="1" si="338"/>
        <v>0</v>
      </c>
      <c r="R721" s="306">
        <f t="shared" ca="1" si="339"/>
        <v>0</v>
      </c>
      <c r="S721" s="307">
        <f t="shared" ca="1" si="340"/>
        <v>4.9929999999999914</v>
      </c>
      <c r="T721" s="304">
        <f t="shared" ca="1" si="320"/>
        <v>48.981329999999922</v>
      </c>
      <c r="U721" s="311">
        <f t="shared" ca="1" si="321"/>
        <v>0</v>
      </c>
      <c r="V721" s="306">
        <f t="shared" ca="1" si="322"/>
        <v>1.1195631343247077</v>
      </c>
      <c r="W721" s="304">
        <f t="shared" ca="1" si="323"/>
        <v>42.014009794264183</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1.3919697681760663</v>
      </c>
      <c r="AH721" s="304">
        <f t="shared" ca="1" si="347"/>
        <v>-8.3838070886916274</v>
      </c>
    </row>
    <row r="722" spans="1:34" x14ac:dyDescent="0.2">
      <c r="A722" s="347">
        <f t="shared" ca="1" si="325"/>
        <v>0.1</v>
      </c>
      <c r="B722" s="304">
        <f t="shared" ca="1" si="326"/>
        <v>35.800000000000196</v>
      </c>
      <c r="D722" s="306">
        <f t="shared" ca="1" si="327"/>
        <v>-0.69587001154109984</v>
      </c>
      <c r="E722" s="307">
        <f t="shared" ca="1" si="328"/>
        <v>-1.4242405556298632</v>
      </c>
      <c r="F722" s="304">
        <f t="shared" ca="1" si="329"/>
        <v>1.5851486470558753</v>
      </c>
      <c r="G722" s="306">
        <f t="shared" ca="1" si="330"/>
        <v>8.8244128278042826</v>
      </c>
      <c r="H722" s="307">
        <f t="shared" ca="1" si="331"/>
        <v>-107.32184237643581</v>
      </c>
      <c r="I722" s="304">
        <f t="shared" ca="1" si="332"/>
        <v>107.68401976536747</v>
      </c>
      <c r="J722" s="306">
        <f t="shared" ca="1" si="333"/>
        <v>876.09207523284783</v>
      </c>
      <c r="K722" s="307">
        <f t="shared" ca="1" si="334"/>
        <v>888.69081646680468</v>
      </c>
      <c r="L722" s="304">
        <f t="shared" ca="1" si="319"/>
        <v>1247.9217489723601</v>
      </c>
      <c r="M722" s="306">
        <f t="shared" ca="1" si="335"/>
        <v>-1.4887570481086336</v>
      </c>
      <c r="N722" s="304">
        <f t="shared" ca="1" si="336"/>
        <v>-85.299495576979567</v>
      </c>
      <c r="P722" s="310">
        <f t="shared" ca="1" si="337"/>
        <v>23</v>
      </c>
      <c r="Q722" s="304">
        <f t="shared" ca="1" si="338"/>
        <v>0</v>
      </c>
      <c r="R722" s="306">
        <f t="shared" ca="1" si="339"/>
        <v>0</v>
      </c>
      <c r="S722" s="307">
        <f t="shared" ca="1" si="340"/>
        <v>4.9929999999999914</v>
      </c>
      <c r="T722" s="304">
        <f t="shared" ca="1" si="320"/>
        <v>48.981329999999922</v>
      </c>
      <c r="U722" s="311">
        <f t="shared" ca="1" si="321"/>
        <v>0</v>
      </c>
      <c r="V722" s="306">
        <f t="shared" ca="1" si="322"/>
        <v>1.1207669238597142</v>
      </c>
      <c r="W722" s="304">
        <f t="shared" ca="1" si="323"/>
        <v>42.165790113135543</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1.3618148956069955</v>
      </c>
      <c r="AH722" s="304">
        <f t="shared" ca="1" si="347"/>
        <v>-8.4145823741766979</v>
      </c>
    </row>
    <row r="723" spans="1:34" x14ac:dyDescent="0.2">
      <c r="A723" s="347">
        <f t="shared" ca="1" si="325"/>
        <v>0.1</v>
      </c>
      <c r="B723" s="304">
        <f t="shared" ca="1" si="326"/>
        <v>35.900000000000198</v>
      </c>
      <c r="D723" s="306">
        <f t="shared" ca="1" si="327"/>
        <v>-0.69204324647456372</v>
      </c>
      <c r="E723" s="307">
        <f t="shared" ca="1" si="328"/>
        <v>-1.3934223007106912</v>
      </c>
      <c r="F723" s="304">
        <f t="shared" ca="1" si="329"/>
        <v>1.5558115448565515</v>
      </c>
      <c r="G723" s="306">
        <f t="shared" ca="1" si="330"/>
        <v>8.7552085031568261</v>
      </c>
      <c r="H723" s="307">
        <f t="shared" ca="1" si="331"/>
        <v>-107.46118460650688</v>
      </c>
      <c r="I723" s="304">
        <f t="shared" ca="1" si="332"/>
        <v>107.81725220467966</v>
      </c>
      <c r="J723" s="306">
        <f t="shared" ca="1" si="333"/>
        <v>876.97105629939585</v>
      </c>
      <c r="K723" s="307">
        <f t="shared" ca="1" si="334"/>
        <v>877.95166511765751</v>
      </c>
      <c r="L723" s="304">
        <f t="shared" ca="1" si="319"/>
        <v>1240.9179504986403</v>
      </c>
      <c r="M723" s="306">
        <f t="shared" ca="1" si="335"/>
        <v>-1.4895026643277074</v>
      </c>
      <c r="N723" s="304">
        <f t="shared" ca="1" si="336"/>
        <v>-85.342216239468996</v>
      </c>
      <c r="P723" s="310">
        <f t="shared" ca="1" si="337"/>
        <v>23</v>
      </c>
      <c r="Q723" s="304">
        <f t="shared" ca="1" si="338"/>
        <v>0</v>
      </c>
      <c r="R723" s="306">
        <f t="shared" ca="1" si="339"/>
        <v>0</v>
      </c>
      <c r="S723" s="307">
        <f t="shared" ca="1" si="340"/>
        <v>4.9929999999999914</v>
      </c>
      <c r="T723" s="304">
        <f t="shared" ca="1" si="320"/>
        <v>48.981329999999922</v>
      </c>
      <c r="U723" s="311">
        <f t="shared" ca="1" si="321"/>
        <v>0</v>
      </c>
      <c r="V723" s="306">
        <f t="shared" ca="1" si="322"/>
        <v>1.1219735338964281</v>
      </c>
      <c r="W723" s="304">
        <f t="shared" ca="1" si="323"/>
        <v>42.315702013377113</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1.332024691608229</v>
      </c>
      <c r="AH723" s="304">
        <f t="shared" ca="1" si="347"/>
        <v>-8.4449809960215525</v>
      </c>
    </row>
    <row r="724" spans="1:34" x14ac:dyDescent="0.2">
      <c r="A724" s="347">
        <f t="shared" ca="1" si="325"/>
        <v>0.1</v>
      </c>
      <c r="B724" s="304">
        <f t="shared" ca="1" si="326"/>
        <v>36.000000000000199</v>
      </c>
      <c r="D724" s="306">
        <f t="shared" ca="1" si="327"/>
        <v>-0.68820562493335846</v>
      </c>
      <c r="E724" s="307">
        <f t="shared" ca="1" si="328"/>
        <v>-1.3629833833729652</v>
      </c>
      <c r="F724" s="304">
        <f t="shared" ca="1" si="329"/>
        <v>1.5268761199065004</v>
      </c>
      <c r="G724" s="306">
        <f t="shared" ca="1" si="330"/>
        <v>8.6863879406634901</v>
      </c>
      <c r="H724" s="307">
        <f t="shared" ca="1" si="331"/>
        <v>-107.59748294484417</v>
      </c>
      <c r="I724" s="304">
        <f t="shared" ca="1" si="332"/>
        <v>107.947541294472</v>
      </c>
      <c r="J724" s="306">
        <f t="shared" ca="1" si="333"/>
        <v>877.84313612158689</v>
      </c>
      <c r="K724" s="307">
        <f t="shared" ca="1" si="334"/>
        <v>867.19873174009001</v>
      </c>
      <c r="L724" s="304">
        <f t="shared" ca="1" si="319"/>
        <v>1233.9538937769935</v>
      </c>
      <c r="M724" s="306">
        <f t="shared" ca="1" si="335"/>
        <v>-1.4902406272223325</v>
      </c>
      <c r="N724" s="304">
        <f t="shared" ca="1" si="336"/>
        <v>-85.384498398768272</v>
      </c>
      <c r="P724" s="310">
        <f t="shared" ca="1" si="337"/>
        <v>23</v>
      </c>
      <c r="Q724" s="304">
        <f t="shared" ca="1" si="338"/>
        <v>0</v>
      </c>
      <c r="R724" s="306">
        <f t="shared" ca="1" si="339"/>
        <v>0</v>
      </c>
      <c r="S724" s="307">
        <f t="shared" ca="1" si="340"/>
        <v>4.9929999999999914</v>
      </c>
      <c r="T724" s="304">
        <f t="shared" ca="1" si="320"/>
        <v>48.981329999999922</v>
      </c>
      <c r="U724" s="311">
        <f t="shared" ca="1" si="321"/>
        <v>0</v>
      </c>
      <c r="V724" s="306">
        <f t="shared" ca="1" si="322"/>
        <v>1.1231829367670931</v>
      </c>
      <c r="W724" s="304">
        <f t="shared" ca="1" si="323"/>
        <v>42.463757974913335</v>
      </c>
      <c r="Y724" s="314" t="str">
        <f t="shared" ca="1" si="341"/>
        <v/>
      </c>
      <c r="Z724" s="315" t="str">
        <f t="shared" ca="1" si="342"/>
        <v/>
      </c>
      <c r="AA724" s="316" t="str">
        <f t="shared" ca="1" si="343"/>
        <v/>
      </c>
      <c r="AC724" s="310">
        <f t="shared" ca="1" si="344"/>
        <v>36.000000000000199</v>
      </c>
      <c r="AD724" s="323">
        <f t="shared" ca="1" si="345"/>
        <v>877.84313612158689</v>
      </c>
      <c r="AE724" s="324" t="e">
        <f t="shared" ca="1" si="324"/>
        <v>#N/A</v>
      </c>
      <c r="AG724" s="306">
        <f t="shared" ca="1" si="346"/>
        <v>1.3025969625927001</v>
      </c>
      <c r="AH724" s="304">
        <f t="shared" ca="1" si="347"/>
        <v>-8.4750054102497874</v>
      </c>
    </row>
    <row r="725" spans="1:34" x14ac:dyDescent="0.2">
      <c r="A725" s="347">
        <f t="shared" ca="1" si="325"/>
        <v>0.1</v>
      </c>
      <c r="B725" s="304">
        <f t="shared" ca="1" si="326"/>
        <v>36.1000000000002</v>
      </c>
      <c r="D725" s="306">
        <f t="shared" ca="1" si="327"/>
        <v>-0.68435796513202396</v>
      </c>
      <c r="E725" s="307">
        <f t="shared" ca="1" si="328"/>
        <v>-1.3329212666459895</v>
      </c>
      <c r="F725" s="304">
        <f t="shared" ca="1" si="329"/>
        <v>1.4983407247741729</v>
      </c>
      <c r="G725" s="306">
        <f t="shared" ca="1" si="330"/>
        <v>8.6179521441502871</v>
      </c>
      <c r="H725" s="307">
        <f t="shared" ca="1" si="331"/>
        <v>-107.73077507150877</v>
      </c>
      <c r="I725" s="304">
        <f t="shared" ca="1" si="332"/>
        <v>108.07492307037225</v>
      </c>
      <c r="J725" s="306">
        <f t="shared" ca="1" si="333"/>
        <v>878.70835312582756</v>
      </c>
      <c r="K725" s="307">
        <f t="shared" ca="1" si="334"/>
        <v>856.4323188392724</v>
      </c>
      <c r="L725" s="304">
        <f t="shared" ca="1" si="319"/>
        <v>1227.03084174992</v>
      </c>
      <c r="M725" s="306">
        <f t="shared" ca="1" si="335"/>
        <v>-1.490971043725871</v>
      </c>
      <c r="N725" s="304">
        <f t="shared" ca="1" si="336"/>
        <v>-85.426348181707723</v>
      </c>
      <c r="P725" s="310">
        <f t="shared" ca="1" si="337"/>
        <v>23</v>
      </c>
      <c r="Q725" s="304">
        <f t="shared" ca="1" si="338"/>
        <v>0</v>
      </c>
      <c r="R725" s="306">
        <f t="shared" ca="1" si="339"/>
        <v>0</v>
      </c>
      <c r="S725" s="307">
        <f t="shared" ca="1" si="340"/>
        <v>4.9929999999999914</v>
      </c>
      <c r="T725" s="304">
        <f t="shared" ca="1" si="320"/>
        <v>48.981329999999922</v>
      </c>
      <c r="U725" s="311">
        <f t="shared" ca="1" si="321"/>
        <v>0</v>
      </c>
      <c r="V725" s="306">
        <f t="shared" ca="1" si="322"/>
        <v>1.1243951051129251</v>
      </c>
      <c r="W725" s="304">
        <f t="shared" ca="1" si="323"/>
        <v>42.609970683815312</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1.273529464689922</v>
      </c>
      <c r="AH725" s="304">
        <f t="shared" ca="1" si="347"/>
        <v>-8.5046581163455652</v>
      </c>
    </row>
    <row r="726" spans="1:34" x14ac:dyDescent="0.2">
      <c r="A726" s="347">
        <f t="shared" ca="1" si="325"/>
        <v>0.1</v>
      </c>
      <c r="B726" s="304">
        <f t="shared" ca="1" si="326"/>
        <v>36.200000000000202</v>
      </c>
      <c r="D726" s="306">
        <f t="shared" ca="1" si="327"/>
        <v>-0.68050106995277138</v>
      </c>
      <c r="E726" s="307">
        <f t="shared" ca="1" si="328"/>
        <v>-1.3032333718324018</v>
      </c>
      <c r="F726" s="304">
        <f t="shared" ca="1" si="329"/>
        <v>1.4702037027788082</v>
      </c>
      <c r="G726" s="306">
        <f t="shared" ca="1" si="330"/>
        <v>8.5499020371550092</v>
      </c>
      <c r="H726" s="307">
        <f t="shared" ca="1" si="331"/>
        <v>-107.86109840869202</v>
      </c>
      <c r="I726" s="304">
        <f t="shared" ca="1" si="332"/>
        <v>108.19943333850918</v>
      </c>
      <c r="J726" s="306">
        <f t="shared" ca="1" si="333"/>
        <v>879.5667458348928</v>
      </c>
      <c r="K726" s="307">
        <f t="shared" ca="1" si="334"/>
        <v>845.65272516526238</v>
      </c>
      <c r="L726" s="304">
        <f t="shared" ca="1" si="319"/>
        <v>1220.1500694414674</v>
      </c>
      <c r="M726" s="306">
        <f t="shared" ca="1" si="335"/>
        <v>-1.4916940185960592</v>
      </c>
      <c r="N726" s="304">
        <f t="shared" ca="1" si="336"/>
        <v>-85.467771590463528</v>
      </c>
      <c r="P726" s="310">
        <f t="shared" ca="1" si="337"/>
        <v>23</v>
      </c>
      <c r="Q726" s="304">
        <f t="shared" ca="1" si="338"/>
        <v>0</v>
      </c>
      <c r="R726" s="306">
        <f t="shared" ca="1" si="339"/>
        <v>0</v>
      </c>
      <c r="S726" s="307">
        <f t="shared" ca="1" si="340"/>
        <v>4.9929999999999914</v>
      </c>
      <c r="T726" s="304">
        <f t="shared" ca="1" si="320"/>
        <v>48.981329999999922</v>
      </c>
      <c r="U726" s="311">
        <f t="shared" ca="1" si="321"/>
        <v>0</v>
      </c>
      <c r="V726" s="306">
        <f t="shared" ca="1" si="322"/>
        <v>1.1256100118825392</v>
      </c>
      <c r="W726" s="304">
        <f t="shared" ca="1" si="323"/>
        <v>42.754353021677488</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1.2448199061318199</v>
      </c>
      <c r="AH726" s="304">
        <f t="shared" ca="1" si="347"/>
        <v>-8.5339416550801896</v>
      </c>
    </row>
    <row r="727" spans="1:34" x14ac:dyDescent="0.2">
      <c r="A727" s="347">
        <f t="shared" ca="1" si="325"/>
        <v>0.1</v>
      </c>
      <c r="B727" s="304">
        <f t="shared" ca="1" si="326"/>
        <v>36.300000000000203</v>
      </c>
      <c r="D727" s="306">
        <f t="shared" ca="1" si="327"/>
        <v>-0.67663572704257535</v>
      </c>
      <c r="E727" s="307">
        <f t="shared" ca="1" si="328"/>
        <v>-1.2739170806615387</v>
      </c>
      <c r="F727" s="304">
        <f t="shared" ca="1" si="329"/>
        <v>1.4424633913939209</v>
      </c>
      <c r="G727" s="306">
        <f t="shared" ca="1" si="330"/>
        <v>8.4822384644507522</v>
      </c>
      <c r="H727" s="307">
        <f t="shared" ca="1" si="331"/>
        <v>-107.98849011675817</v>
      </c>
      <c r="I727" s="304">
        <f t="shared" ca="1" si="332"/>
        <v>108.32110767096589</v>
      </c>
      <c r="J727" s="306">
        <f t="shared" ca="1" si="333"/>
        <v>880.41835285997308</v>
      </c>
      <c r="K727" s="307">
        <f t="shared" ca="1" si="334"/>
        <v>834.86024573898987</v>
      </c>
      <c r="L727" s="304">
        <f t="shared" ca="1" si="319"/>
        <v>1213.3128640083046</v>
      </c>
      <c r="M727" s="306">
        <f t="shared" ca="1" si="335"/>
        <v>-1.492409654472314</v>
      </c>
      <c r="N727" s="304">
        <f t="shared" ca="1" si="336"/>
        <v>-85.508774505841075</v>
      </c>
      <c r="P727" s="310">
        <f t="shared" ca="1" si="337"/>
        <v>23</v>
      </c>
      <c r="Q727" s="304">
        <f t="shared" ca="1" si="338"/>
        <v>0</v>
      </c>
      <c r="R727" s="306">
        <f t="shared" ca="1" si="339"/>
        <v>0</v>
      </c>
      <c r="S727" s="307">
        <f t="shared" ca="1" si="340"/>
        <v>4.9929999999999914</v>
      </c>
      <c r="T727" s="304">
        <f t="shared" ca="1" si="320"/>
        <v>48.981329999999922</v>
      </c>
      <c r="U727" s="311">
        <f t="shared" ca="1" si="321"/>
        <v>0</v>
      </c>
      <c r="V727" s="306">
        <f t="shared" ca="1" si="322"/>
        <v>1.1268276303303337</v>
      </c>
      <c r="W727" s="304">
        <f t="shared" ca="1" si="323"/>
        <v>42.896918055222223</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1.2164659495850589</v>
      </c>
      <c r="AH727" s="304">
        <f t="shared" ca="1" si="347"/>
        <v>-8.5628586063844505</v>
      </c>
    </row>
    <row r="728" spans="1:34" x14ac:dyDescent="0.2">
      <c r="A728" s="347">
        <f t="shared" ca="1" si="325"/>
        <v>0.1</v>
      </c>
      <c r="B728" s="304">
        <f t="shared" ca="1" si="326"/>
        <v>36.400000000000205</v>
      </c>
      <c r="D728" s="306">
        <f t="shared" ca="1" si="327"/>
        <v>-0.67276270891544743</v>
      </c>
      <c r="E728" s="307">
        <f t="shared" ca="1" si="328"/>
        <v>-1.2449697373965982</v>
      </c>
      <c r="F728" s="304">
        <f t="shared" ca="1" si="329"/>
        <v>1.4151181256490943</v>
      </c>
      <c r="G728" s="306">
        <f t="shared" ca="1" si="330"/>
        <v>8.4149621935592069</v>
      </c>
      <c r="H728" s="307">
        <f t="shared" ca="1" si="331"/>
        <v>-108.11298709049782</v>
      </c>
      <c r="I728" s="304">
        <f t="shared" ca="1" si="332"/>
        <v>108.43998140146087</v>
      </c>
      <c r="J728" s="306">
        <f t="shared" ca="1" si="333"/>
        <v>881.26321289287353</v>
      </c>
      <c r="K728" s="307">
        <f t="shared" ca="1" si="334"/>
        <v>824.05517187862711</v>
      </c>
      <c r="L728" s="304">
        <f t="shared" ca="1" si="319"/>
        <v>1206.5205247728627</v>
      </c>
      <c r="M728" s="306">
        <f t="shared" ca="1" si="335"/>
        <v>-1.493118051931263</v>
      </c>
      <c r="N728" s="304">
        <f t="shared" ca="1" si="336"/>
        <v>-85.549362690456647</v>
      </c>
      <c r="P728" s="310">
        <f t="shared" ca="1" si="337"/>
        <v>23</v>
      </c>
      <c r="Q728" s="304">
        <f t="shared" ca="1" si="338"/>
        <v>0</v>
      </c>
      <c r="R728" s="306">
        <f t="shared" ca="1" si="339"/>
        <v>0</v>
      </c>
      <c r="S728" s="307">
        <f t="shared" ca="1" si="340"/>
        <v>4.9929999999999914</v>
      </c>
      <c r="T728" s="304">
        <f t="shared" ca="1" si="320"/>
        <v>48.981329999999922</v>
      </c>
      <c r="U728" s="311">
        <f t="shared" ca="1" si="321"/>
        <v>0</v>
      </c>
      <c r="V728" s="306">
        <f t="shared" ca="1" si="322"/>
        <v>1.1280479340148379</v>
      </c>
      <c r="W728" s="304">
        <f t="shared" ca="1" si="323"/>
        <v>43.037679026131862</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1.1884652144303267</v>
      </c>
      <c r="AH728" s="304">
        <f t="shared" ca="1" si="347"/>
        <v>-8.5914115872666326</v>
      </c>
    </row>
    <row r="729" spans="1:34" x14ac:dyDescent="0.2">
      <c r="A729" s="347">
        <f t="shared" ca="1" si="325"/>
        <v>0.1</v>
      </c>
      <c r="B729" s="304">
        <f t="shared" ca="1" si="326"/>
        <v>36.500000000000206</v>
      </c>
      <c r="D729" s="306">
        <f t="shared" ca="1" si="327"/>
        <v>-0.6688827730596475</v>
      </c>
      <c r="E729" s="307">
        <f t="shared" ca="1" si="328"/>
        <v>-1.2163886508956985</v>
      </c>
      <c r="F729" s="304">
        <f t="shared" ca="1" si="329"/>
        <v>1.3881662415301061</v>
      </c>
      <c r="G729" s="306">
        <f t="shared" ca="1" si="330"/>
        <v>8.3480739162532416</v>
      </c>
      <c r="H729" s="307">
        <f t="shared" ca="1" si="331"/>
        <v>-108.23462595558739</v>
      </c>
      <c r="I729" s="304">
        <f t="shared" ca="1" si="332"/>
        <v>108.55608962125129</v>
      </c>
      <c r="J729" s="306">
        <f t="shared" ca="1" si="333"/>
        <v>882.10136469836414</v>
      </c>
      <c r="K729" s="307">
        <f t="shared" ca="1" si="334"/>
        <v>813.23779122632288</v>
      </c>
      <c r="L729" s="304">
        <f t="shared" ca="1" si="319"/>
        <v>1199.7743632372651</v>
      </c>
      <c r="M729" s="306">
        <f t="shared" ca="1" si="335"/>
        <v>-1.4938193095405676</v>
      </c>
      <c r="N729" s="304">
        <f t="shared" ca="1" si="336"/>
        <v>-85.589541791821233</v>
      </c>
      <c r="P729" s="310">
        <f t="shared" ca="1" si="337"/>
        <v>23</v>
      </c>
      <c r="Q729" s="304">
        <f t="shared" ca="1" si="338"/>
        <v>0</v>
      </c>
      <c r="R729" s="306">
        <f t="shared" ca="1" si="339"/>
        <v>0</v>
      </c>
      <c r="S729" s="307">
        <f t="shared" ca="1" si="340"/>
        <v>4.9929999999999914</v>
      </c>
      <c r="T729" s="304">
        <f t="shared" ca="1" si="320"/>
        <v>48.981329999999922</v>
      </c>
      <c r="U729" s="311">
        <f t="shared" ca="1" si="321"/>
        <v>0</v>
      </c>
      <c r="V729" s="306">
        <f t="shared" ca="1" si="322"/>
        <v>1.1292708967970191</v>
      </c>
      <c r="W729" s="304">
        <f t="shared" ca="1" si="323"/>
        <v>43.17664934110708</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1.160815278988963</v>
      </c>
      <c r="AH729" s="304">
        <f t="shared" ca="1" si="347"/>
        <v>-8.6196032497760733</v>
      </c>
    </row>
    <row r="730" spans="1:34" x14ac:dyDescent="0.2">
      <c r="A730" s="347">
        <f t="shared" ca="1" si="325"/>
        <v>0.1</v>
      </c>
      <c r="B730" s="304">
        <f t="shared" ca="1" si="326"/>
        <v>36.600000000000207</v>
      </c>
      <c r="D730" s="306">
        <f t="shared" ca="1" si="327"/>
        <v>-0.66499666204953622</v>
      </c>
      <c r="E730" s="307">
        <f t="shared" ca="1" si="328"/>
        <v>-1.1881710966270802</v>
      </c>
      <c r="F730" s="304">
        <f t="shared" ca="1" si="329"/>
        <v>1.3616060793772271</v>
      </c>
      <c r="G730" s="306">
        <f t="shared" ca="1" si="330"/>
        <v>8.2815742500482887</v>
      </c>
      <c r="H730" s="307">
        <f t="shared" ca="1" si="331"/>
        <v>-108.3534430652501</v>
      </c>
      <c r="I730" s="304">
        <f t="shared" ca="1" si="332"/>
        <v>108.66946717525332</v>
      </c>
      <c r="J730" s="306">
        <f t="shared" ca="1" si="333"/>
        <v>882.93284710667922</v>
      </c>
      <c r="K730" s="307">
        <f t="shared" ca="1" si="334"/>
        <v>802.40838777528097</v>
      </c>
      <c r="L730" s="304">
        <f t="shared" ca="1" si="319"/>
        <v>1193.0757030767295</v>
      </c>
      <c r="M730" s="306">
        <f t="shared" ca="1" si="335"/>
        <v>-1.4945135239110914</v>
      </c>
      <c r="N730" s="304">
        <f t="shared" ca="1" si="336"/>
        <v>-85.629317345329582</v>
      </c>
      <c r="P730" s="310">
        <f t="shared" ca="1" si="337"/>
        <v>23</v>
      </c>
      <c r="Q730" s="304">
        <f t="shared" ca="1" si="338"/>
        <v>0</v>
      </c>
      <c r="R730" s="306">
        <f t="shared" ca="1" si="339"/>
        <v>0</v>
      </c>
      <c r="S730" s="307">
        <f t="shared" ca="1" si="340"/>
        <v>4.9929999999999914</v>
      </c>
      <c r="T730" s="304">
        <f t="shared" ca="1" si="320"/>
        <v>48.981329999999922</v>
      </c>
      <c r="U730" s="311">
        <f t="shared" ca="1" si="321"/>
        <v>0</v>
      </c>
      <c r="V730" s="306">
        <f t="shared" ca="1" si="322"/>
        <v>1.1304964928385544</v>
      </c>
      <c r="W730" s="304">
        <f t="shared" ca="1" si="323"/>
        <v>43.313842562150221</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1.1335136826974672</v>
      </c>
      <c r="AH730" s="304">
        <f t="shared" ca="1" si="347"/>
        <v>-8.647436279012048</v>
      </c>
    </row>
    <row r="731" spans="1:34" x14ac:dyDescent="0.2">
      <c r="A731" s="347">
        <f t="shared" ca="1" si="325"/>
        <v>0.1</v>
      </c>
      <c r="B731" s="304">
        <f t="shared" ca="1" si="326"/>
        <v>36.700000000000209</v>
      </c>
      <c r="D731" s="306">
        <f t="shared" ca="1" si="327"/>
        <v>-0.66110510366187325</v>
      </c>
      <c r="E731" s="307">
        <f t="shared" ca="1" si="328"/>
        <v>-1.1603143186387097</v>
      </c>
      <c r="F731" s="304">
        <f t="shared" ca="1" si="329"/>
        <v>1.3354359872812285</v>
      </c>
      <c r="G731" s="306">
        <f t="shared" ca="1" si="330"/>
        <v>8.215463739682102</v>
      </c>
      <c r="H731" s="307">
        <f t="shared" ca="1" si="331"/>
        <v>-108.46947449711398</v>
      </c>
      <c r="I731" s="304">
        <f t="shared" ca="1" si="332"/>
        <v>108.78014865837467</v>
      </c>
      <c r="J731" s="306">
        <f t="shared" ca="1" si="333"/>
        <v>883.75769900616569</v>
      </c>
      <c r="K731" s="307">
        <f t="shared" ca="1" si="334"/>
        <v>791.56724189716272</v>
      </c>
      <c r="L731" s="304">
        <f t="shared" ca="1" si="319"/>
        <v>1186.4258801110814</v>
      </c>
      <c r="M731" s="306">
        <f t="shared" ca="1" si="335"/>
        <v>-1.4952007897474786</v>
      </c>
      <c r="N731" s="304">
        <f t="shared" ca="1" si="336"/>
        <v>-85.668694777158095</v>
      </c>
      <c r="P731" s="310">
        <f t="shared" ca="1" si="337"/>
        <v>23</v>
      </c>
      <c r="Q731" s="304">
        <f t="shared" ca="1" si="338"/>
        <v>0</v>
      </c>
      <c r="R731" s="306">
        <f t="shared" ca="1" si="339"/>
        <v>0</v>
      </c>
      <c r="S731" s="307">
        <f t="shared" ca="1" si="340"/>
        <v>4.9929999999999914</v>
      </c>
      <c r="T731" s="304">
        <f t="shared" ca="1" si="320"/>
        <v>48.981329999999922</v>
      </c>
      <c r="U731" s="311">
        <f t="shared" ca="1" si="321"/>
        <v>0</v>
      </c>
      <c r="V731" s="306">
        <f t="shared" ca="1" si="322"/>
        <v>1.131724696600068</v>
      </c>
      <c r="W731" s="304">
        <f t="shared" ca="1" si="323"/>
        <v>43.449272397073003</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1.1065579282304228</v>
      </c>
      <c r="AH731" s="304">
        <f t="shared" ca="1" si="347"/>
        <v>-8.6749133911777072</v>
      </c>
    </row>
    <row r="732" spans="1:34" x14ac:dyDescent="0.2">
      <c r="A732" s="347">
        <f t="shared" ca="1" si="325"/>
        <v>0.1</v>
      </c>
      <c r="B732" s="304">
        <f t="shared" ca="1" si="326"/>
        <v>36.80000000000021</v>
      </c>
      <c r="D732" s="306">
        <f t="shared" ca="1" si="327"/>
        <v>-0.65720881099627604</v>
      </c>
      <c r="E732" s="307">
        <f t="shared" ca="1" si="328"/>
        <v>-1.1328155314823913</v>
      </c>
      <c r="F732" s="304">
        <f t="shared" ca="1" si="329"/>
        <v>1.3096543244760701</v>
      </c>
      <c r="G732" s="306">
        <f t="shared" ca="1" si="330"/>
        <v>8.1497428585824743</v>
      </c>
      <c r="H732" s="307">
        <f t="shared" ca="1" si="331"/>
        <v>-108.58275605026222</v>
      </c>
      <c r="I732" s="304">
        <f t="shared" ca="1" si="332"/>
        <v>108.88816841205372</v>
      </c>
      <c r="J732" s="306">
        <f t="shared" ca="1" si="333"/>
        <v>884.57595933607888</v>
      </c>
      <c r="K732" s="307">
        <f t="shared" ca="1" si="334"/>
        <v>780.71463036979389</v>
      </c>
      <c r="L732" s="304">
        <f t="shared" ca="1" si="319"/>
        <v>1179.8262422529804</v>
      </c>
      <c r="M732" s="306">
        <f t="shared" ca="1" si="335"/>
        <v>-1.4958811998971937</v>
      </c>
      <c r="N732" s="304">
        <f t="shared" ca="1" si="336"/>
        <v>-85.707679407074636</v>
      </c>
      <c r="P732" s="310">
        <f t="shared" ca="1" si="337"/>
        <v>23</v>
      </c>
      <c r="Q732" s="304">
        <f t="shared" ca="1" si="338"/>
        <v>0</v>
      </c>
      <c r="R732" s="306">
        <f t="shared" ca="1" si="339"/>
        <v>0</v>
      </c>
      <c r="S732" s="307">
        <f t="shared" ca="1" si="340"/>
        <v>4.9929999999999914</v>
      </c>
      <c r="T732" s="304">
        <f t="shared" ca="1" si="320"/>
        <v>48.981329999999922</v>
      </c>
      <c r="U732" s="311">
        <f t="shared" ca="1" si="321"/>
        <v>0</v>
      </c>
      <c r="V732" s="306">
        <f t="shared" ca="1" si="322"/>
        <v>1.1329554828393331</v>
      </c>
      <c r="W732" s="304">
        <f t="shared" ca="1" si="323"/>
        <v>43.582952690226236</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1.0799454835722013</v>
      </c>
      <c r="AH732" s="304">
        <f t="shared" ca="1" si="347"/>
        <v>-8.7020373316789659</v>
      </c>
    </row>
    <row r="733" spans="1:34" x14ac:dyDescent="0.2">
      <c r="A733" s="347">
        <f t="shared" ca="1" si="325"/>
        <v>0.1</v>
      </c>
      <c r="B733" s="304">
        <f t="shared" ca="1" si="326"/>
        <v>36.900000000000212</v>
      </c>
      <c r="D733" s="306">
        <f t="shared" ca="1" si="327"/>
        <v>-0.65330848259962826</v>
      </c>
      <c r="E733" s="307">
        <f t="shared" ca="1" si="328"/>
        <v>-1.105671922092883</v>
      </c>
      <c r="F733" s="304">
        <f t="shared" ca="1" si="329"/>
        <v>1.2842594647271239</v>
      </c>
      <c r="G733" s="306">
        <f t="shared" ca="1" si="330"/>
        <v>8.0844120103225112</v>
      </c>
      <c r="H733" s="307">
        <f t="shared" ca="1" si="331"/>
        <v>-108.69332324247151</v>
      </c>
      <c r="I733" s="304">
        <f t="shared" ca="1" si="332"/>
        <v>108.9935605210007</v>
      </c>
      <c r="J733" s="306">
        <f t="shared" ca="1" si="333"/>
        <v>885.38766707952414</v>
      </c>
      <c r="K733" s="307">
        <f t="shared" ca="1" si="334"/>
        <v>769.85082640515725</v>
      </c>
      <c r="L733" s="304">
        <f t="shared" ca="1" si="319"/>
        <v>1173.2781494314236</v>
      </c>
      <c r="M733" s="306">
        <f t="shared" ca="1" si="335"/>
        <v>-1.4965548453980768</v>
      </c>
      <c r="N733" s="304">
        <f t="shared" ca="1" si="336"/>
        <v>-85.746276451163212</v>
      </c>
      <c r="P733" s="310">
        <f t="shared" ca="1" si="337"/>
        <v>23</v>
      </c>
      <c r="Q733" s="304">
        <f t="shared" ca="1" si="338"/>
        <v>0</v>
      </c>
      <c r="R733" s="306">
        <f t="shared" ca="1" si="339"/>
        <v>0</v>
      </c>
      <c r="S733" s="307">
        <f t="shared" ca="1" si="340"/>
        <v>4.9929999999999914</v>
      </c>
      <c r="T733" s="304">
        <f t="shared" ca="1" si="320"/>
        <v>48.981329999999922</v>
      </c>
      <c r="U733" s="311">
        <f t="shared" ca="1" si="321"/>
        <v>0</v>
      </c>
      <c r="V733" s="306">
        <f t="shared" ca="1" si="322"/>
        <v>1.1341888266094455</v>
      </c>
      <c r="W733" s="304">
        <f t="shared" ca="1" si="323"/>
        <v>43.714897413450977</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1.0536737840382102</v>
      </c>
      <c r="AH733" s="304">
        <f t="shared" ca="1" si="347"/>
        <v>-8.7288108732678378</v>
      </c>
    </row>
    <row r="734" spans="1:34" x14ac:dyDescent="0.2">
      <c r="A734" s="347">
        <f t="shared" ca="1" si="325"/>
        <v>0.1</v>
      </c>
      <c r="B734" s="304">
        <f t="shared" ca="1" si="326"/>
        <v>37.000000000000213</v>
      </c>
      <c r="D734" s="306">
        <f t="shared" ca="1" si="327"/>
        <v>-0.6494048025942043</v>
      </c>
      <c r="E734" s="307">
        <f t="shared" ca="1" si="328"/>
        <v>-1.0788806516221445</v>
      </c>
      <c r="F734" s="304">
        <f t="shared" ca="1" si="329"/>
        <v>1.2592497997129244</v>
      </c>
      <c r="G734" s="306">
        <f t="shared" ca="1" si="330"/>
        <v>8.0194715300630914</v>
      </c>
      <c r="H734" s="307">
        <f t="shared" ca="1" si="331"/>
        <v>-108.80121130763372</v>
      </c>
      <c r="I734" s="304">
        <f t="shared" ca="1" si="332"/>
        <v>109.09635881013561</v>
      </c>
      <c r="J734" s="306">
        <f t="shared" ca="1" si="333"/>
        <v>886.19286125654344</v>
      </c>
      <c r="K734" s="307">
        <f t="shared" ca="1" si="334"/>
        <v>758.97609967765197</v>
      </c>
      <c r="L734" s="304">
        <f t="shared" ca="1" si="319"/>
        <v>1166.7829734890547</v>
      </c>
      <c r="M734" s="306">
        <f t="shared" ca="1" si="335"/>
        <v>-1.4972218155244676</v>
      </c>
      <c r="N734" s="304">
        <f t="shared" ca="1" si="336"/>
        <v>-85.784491024466718</v>
      </c>
      <c r="P734" s="310">
        <f t="shared" ca="1" si="337"/>
        <v>23</v>
      </c>
      <c r="Q734" s="304">
        <f t="shared" ca="1" si="338"/>
        <v>0</v>
      </c>
      <c r="R734" s="306">
        <f t="shared" ca="1" si="339"/>
        <v>0</v>
      </c>
      <c r="S734" s="307">
        <f t="shared" ca="1" si="340"/>
        <v>4.9929999999999914</v>
      </c>
      <c r="T734" s="304">
        <f t="shared" ca="1" si="320"/>
        <v>48.981329999999922</v>
      </c>
      <c r="U734" s="311">
        <f t="shared" ca="1" si="321"/>
        <v>0</v>
      </c>
      <c r="V734" s="306">
        <f t="shared" ca="1" si="322"/>
        <v>1.1354247032569627</v>
      </c>
      <c r="W734" s="304">
        <f t="shared" ca="1" si="323"/>
        <v>43.8451206572486</v>
      </c>
      <c r="Y734" s="314" t="str">
        <f t="shared" ca="1" si="341"/>
        <v/>
      </c>
      <c r="Z734" s="315" t="str">
        <f t="shared" ca="1" si="342"/>
        <v/>
      </c>
      <c r="AA734" s="316" t="str">
        <f t="shared" ca="1" si="343"/>
        <v/>
      </c>
      <c r="AC734" s="310">
        <f t="shared" ca="1" si="344"/>
        <v>37.000000000000213</v>
      </c>
      <c r="AD734" s="323">
        <f t="shared" ca="1" si="345"/>
        <v>886.19286125654344</v>
      </c>
      <c r="AE734" s="324" t="e">
        <f t="shared" ca="1" si="324"/>
        <v>#N/A</v>
      </c>
      <c r="AG734" s="306">
        <f t="shared" ca="1" si="346"/>
        <v>1.0277402342460125</v>
      </c>
      <c r="AH734" s="304">
        <f t="shared" ca="1" si="347"/>
        <v>-8.7552368142301322</v>
      </c>
    </row>
    <row r="735" spans="1:34" x14ac:dyDescent="0.2">
      <c r="A735" s="347">
        <f t="shared" ca="1" si="325"/>
        <v>0.1</v>
      </c>
      <c r="B735" s="304">
        <f t="shared" ca="1" si="326"/>
        <v>37.100000000000215</v>
      </c>
      <c r="D735" s="306">
        <f t="shared" ca="1" si="327"/>
        <v>-0.64549844080927099</v>
      </c>
      <c r="E735" s="307">
        <f t="shared" ca="1" si="328"/>
        <v>-1.0524388572291627</v>
      </c>
      <c r="F735" s="304">
        <f t="shared" ca="1" si="329"/>
        <v>1.2346237423980742</v>
      </c>
      <c r="G735" s="306">
        <f t="shared" ca="1" si="330"/>
        <v>7.9549216859821641</v>
      </c>
      <c r="H735" s="307">
        <f t="shared" ca="1" si="331"/>
        <v>-108.90645519335663</v>
      </c>
      <c r="I735" s="304">
        <f t="shared" ca="1" si="332"/>
        <v>109.19659684171803</v>
      </c>
      <c r="J735" s="306">
        <f t="shared" ca="1" si="333"/>
        <v>886.99158091734569</v>
      </c>
      <c r="K735" s="307">
        <f t="shared" ca="1" si="334"/>
        <v>748.0907163526025</v>
      </c>
      <c r="L735" s="304">
        <f t="shared" ca="1" si="319"/>
        <v>1160.3420980517781</v>
      </c>
      <c r="M735" s="306">
        <f t="shared" ca="1" si="335"/>
        <v>-1.4978821978319443</v>
      </c>
      <c r="N735" s="304">
        <f t="shared" ca="1" si="336"/>
        <v>-85.822328143550237</v>
      </c>
      <c r="P735" s="310">
        <f t="shared" ca="1" si="337"/>
        <v>23</v>
      </c>
      <c r="Q735" s="304">
        <f t="shared" ca="1" si="338"/>
        <v>0</v>
      </c>
      <c r="R735" s="306">
        <f t="shared" ca="1" si="339"/>
        <v>0</v>
      </c>
      <c r="S735" s="307">
        <f t="shared" ca="1" si="340"/>
        <v>4.9929999999999914</v>
      </c>
      <c r="T735" s="304">
        <f t="shared" ca="1" si="320"/>
        <v>48.981329999999922</v>
      </c>
      <c r="U735" s="311">
        <f t="shared" ca="1" si="321"/>
        <v>0</v>
      </c>
      <c r="V735" s="306">
        <f t="shared" ca="1" si="322"/>
        <v>1.1366630884200184</v>
      </c>
      <c r="W735" s="304">
        <f t="shared" ca="1" si="323"/>
        <v>43.973636622168549</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1.0021422100370536</v>
      </c>
      <c r="AH735" s="304">
        <f t="shared" ca="1" si="347"/>
        <v>-8.7813179766169984</v>
      </c>
    </row>
    <row r="736" spans="1:34" x14ac:dyDescent="0.2">
      <c r="A736" s="347">
        <f t="shared" ca="1" si="325"/>
        <v>0.1</v>
      </c>
      <c r="B736" s="304">
        <f t="shared" ca="1" si="326"/>
        <v>37.200000000000216</v>
      </c>
      <c r="D736" s="306">
        <f t="shared" ca="1" si="327"/>
        <v>-0.64159005291597315</v>
      </c>
      <c r="E736" s="307">
        <f t="shared" ca="1" si="328"/>
        <v>-1.0263436538257125</v>
      </c>
      <c r="F736" s="304">
        <f t="shared" ca="1" si="329"/>
        <v>1.2103797303941584</v>
      </c>
      <c r="G736" s="306">
        <f t="shared" ca="1" si="330"/>
        <v>7.8907626806905666</v>
      </c>
      <c r="H736" s="307">
        <f t="shared" ca="1" si="331"/>
        <v>-109.00908955873921</v>
      </c>
      <c r="I736" s="304">
        <f t="shared" ca="1" si="332"/>
        <v>109.29430791266398</v>
      </c>
      <c r="J736" s="306">
        <f t="shared" ca="1" si="333"/>
        <v>887.78386513567932</v>
      </c>
      <c r="K736" s="307">
        <f t="shared" ca="1" si="334"/>
        <v>737.19493911499774</v>
      </c>
      <c r="L736" s="304">
        <f t="shared" ca="1" si="319"/>
        <v>1153.956918369144</v>
      </c>
      <c r="M736" s="306">
        <f t="shared" ca="1" si="335"/>
        <v>-1.4985360782007267</v>
      </c>
      <c r="N736" s="304">
        <f t="shared" ca="1" si="336"/>
        <v>-85.859792728987927</v>
      </c>
      <c r="P736" s="310">
        <f t="shared" ca="1" si="337"/>
        <v>23</v>
      </c>
      <c r="Q736" s="304">
        <f t="shared" ca="1" si="338"/>
        <v>0</v>
      </c>
      <c r="R736" s="306">
        <f t="shared" ca="1" si="339"/>
        <v>0</v>
      </c>
      <c r="S736" s="307">
        <f t="shared" ca="1" si="340"/>
        <v>4.9929999999999914</v>
      </c>
      <c r="T736" s="304">
        <f t="shared" ca="1" si="320"/>
        <v>48.981329999999922</v>
      </c>
      <c r="U736" s="311">
        <f t="shared" ca="1" si="321"/>
        <v>0</v>
      </c>
      <c r="V736" s="306">
        <f t="shared" ca="1" si="322"/>
        <v>1.1379039580264068</v>
      </c>
      <c r="W736" s="304">
        <f t="shared" ca="1" si="323"/>
        <v>44.100459610411548</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0.97687706034947475</v>
      </c>
      <c r="AH736" s="304">
        <f t="shared" ca="1" si="347"/>
        <v>-8.8070572045200528</v>
      </c>
    </row>
    <row r="737" spans="1:34" x14ac:dyDescent="0.2">
      <c r="A737" s="347">
        <f t="shared" ca="1" si="325"/>
        <v>0.1</v>
      </c>
      <c r="B737" s="304">
        <f t="shared" ca="1" si="326"/>
        <v>37.300000000000217</v>
      </c>
      <c r="D737" s="306">
        <f t="shared" ca="1" si="327"/>
        <v>-0.63768028056527493</v>
      </c>
      <c r="E737" s="307">
        <f t="shared" ca="1" si="328"/>
        <v>-1.0005921357783834</v>
      </c>
      <c r="F737" s="304">
        <f t="shared" ca="1" si="329"/>
        <v>1.1865162293046625</v>
      </c>
      <c r="G737" s="306">
        <f t="shared" ca="1" si="330"/>
        <v>7.8269946526340393</v>
      </c>
      <c r="H737" s="307">
        <f t="shared" ca="1" si="331"/>
        <v>-109.10914877231704</v>
      </c>
      <c r="I737" s="304">
        <f t="shared" ca="1" si="332"/>
        <v>109.38952505204497</v>
      </c>
      <c r="J737" s="306">
        <f t="shared" ca="1" si="333"/>
        <v>888.56975300234558</v>
      </c>
      <c r="K737" s="307">
        <f t="shared" ca="1" si="334"/>
        <v>726.28902719844496</v>
      </c>
      <c r="L737" s="304">
        <f t="shared" ca="1" si="319"/>
        <v>1147.6288411239555</v>
      </c>
      <c r="M737" s="306">
        <f t="shared" ca="1" si="335"/>
        <v>-1.4991835408777892</v>
      </c>
      <c r="N737" s="304">
        <f t="shared" ca="1" si="336"/>
        <v>-85.896889607775847</v>
      </c>
      <c r="P737" s="310">
        <f t="shared" ca="1" si="337"/>
        <v>23</v>
      </c>
      <c r="Q737" s="304">
        <f t="shared" ca="1" si="338"/>
        <v>0</v>
      </c>
      <c r="R737" s="306">
        <f t="shared" ca="1" si="339"/>
        <v>0</v>
      </c>
      <c r="S737" s="307">
        <f t="shared" ca="1" si="340"/>
        <v>4.9929999999999914</v>
      </c>
      <c r="T737" s="304">
        <f t="shared" ca="1" si="320"/>
        <v>48.981329999999922</v>
      </c>
      <c r="U737" s="311">
        <f t="shared" ca="1" si="321"/>
        <v>0</v>
      </c>
      <c r="V737" s="306">
        <f t="shared" ca="1" si="322"/>
        <v>1.1391472882916414</v>
      </c>
      <c r="W737" s="304">
        <f t="shared" ca="1" si="323"/>
        <v>44.225604017646283</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0.95194210904266008</v>
      </c>
      <c r="AH737" s="304">
        <f t="shared" ca="1" si="347"/>
        <v>-8.8324573623896701</v>
      </c>
    </row>
    <row r="738" spans="1:34" x14ac:dyDescent="0.2">
      <c r="A738" s="347">
        <f t="shared" ca="1" si="325"/>
        <v>0.1</v>
      </c>
      <c r="B738" s="304">
        <f t="shared" ca="1" si="326"/>
        <v>37.400000000000219</v>
      </c>
      <c r="D738" s="306">
        <f t="shared" ca="1" si="327"/>
        <v>-0.63376975152875048</v>
      </c>
      <c r="E738" s="307">
        <f t="shared" ca="1" si="328"/>
        <v>-0.97518137856736331</v>
      </c>
      <c r="F738" s="304">
        <f t="shared" ca="1" si="329"/>
        <v>1.1630317360490887</v>
      </c>
      <c r="G738" s="306">
        <f t="shared" ca="1" si="330"/>
        <v>7.7636176774811645</v>
      </c>
      <c r="H738" s="307">
        <f t="shared" ca="1" si="331"/>
        <v>-109.20666691017378</v>
      </c>
      <c r="I738" s="304">
        <f t="shared" ca="1" si="332"/>
        <v>109.4822810187646</v>
      </c>
      <c r="J738" s="306">
        <f t="shared" ca="1" si="333"/>
        <v>889.34928361885136</v>
      </c>
      <c r="K738" s="307">
        <f t="shared" ca="1" si="334"/>
        <v>715.37323641432044</v>
      </c>
      <c r="L738" s="304">
        <f t="shared" ca="1" si="319"/>
        <v>1141.3592842095179</v>
      </c>
      <c r="M738" s="306">
        <f t="shared" ca="1" si="335"/>
        <v>-1.4998246685177257</v>
      </c>
      <c r="N738" s="304">
        <f t="shared" ca="1" si="336"/>
        <v>-85.933623515673389</v>
      </c>
      <c r="P738" s="310">
        <f t="shared" ca="1" si="337"/>
        <v>23</v>
      </c>
      <c r="Q738" s="304">
        <f t="shared" ca="1" si="338"/>
        <v>0</v>
      </c>
      <c r="R738" s="306">
        <f t="shared" ca="1" si="339"/>
        <v>0</v>
      </c>
      <c r="S738" s="307">
        <f t="shared" ca="1" si="340"/>
        <v>4.9929999999999914</v>
      </c>
      <c r="T738" s="304">
        <f t="shared" ca="1" si="320"/>
        <v>48.981329999999922</v>
      </c>
      <c r="U738" s="311">
        <f t="shared" ca="1" si="321"/>
        <v>0</v>
      </c>
      <c r="V738" s="306">
        <f t="shared" ca="1" si="322"/>
        <v>1.140393055716989</v>
      </c>
      <c r="W738" s="304">
        <f t="shared" ca="1" si="323"/>
        <v>44.349084325037602</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0.92733465667411785</v>
      </c>
      <c r="AH738" s="304">
        <f t="shared" ca="1" si="347"/>
        <v>-8.8575213333960257</v>
      </c>
    </row>
    <row r="739" spans="1:34" x14ac:dyDescent="0.2">
      <c r="A739" s="347">
        <f t="shared" ca="1" si="325"/>
        <v>0.1</v>
      </c>
      <c r="B739" s="304">
        <f t="shared" ca="1" si="326"/>
        <v>37.50000000000022</v>
      </c>
      <c r="D739" s="306">
        <f t="shared" ca="1" si="327"/>
        <v>-0.62985907984204337</v>
      </c>
      <c r="E739" s="307">
        <f t="shared" ca="1" si="328"/>
        <v>-0.95010844040232811</v>
      </c>
      <c r="F739" s="304">
        <f t="shared" ca="1" si="329"/>
        <v>1.1399247821603011</v>
      </c>
      <c r="G739" s="306">
        <f t="shared" ca="1" si="330"/>
        <v>7.7006317694969599</v>
      </c>
      <c r="H739" s="307">
        <f t="shared" ca="1" si="331"/>
        <v>-109.30167775421401</v>
      </c>
      <c r="I739" s="304">
        <f t="shared" ca="1" si="332"/>
        <v>109.57260829940769</v>
      </c>
      <c r="J739" s="306">
        <f t="shared" ca="1" si="333"/>
        <v>890.12249609120022</v>
      </c>
      <c r="K739" s="307">
        <f t="shared" ca="1" si="334"/>
        <v>704.44781918110107</v>
      </c>
      <c r="L739" s="304">
        <f t="shared" ca="1" si="319"/>
        <v>1135.1496764729479</v>
      </c>
      <c r="M739" s="306">
        <f t="shared" ca="1" si="335"/>
        <v>-1.5004595422224107</v>
      </c>
      <c r="N739" s="304">
        <f t="shared" ca="1" si="336"/>
        <v>-85.969999099475686</v>
      </c>
      <c r="P739" s="310">
        <f t="shared" ca="1" si="337"/>
        <v>23</v>
      </c>
      <c r="Q739" s="304">
        <f t="shared" ca="1" si="338"/>
        <v>0</v>
      </c>
      <c r="R739" s="306">
        <f t="shared" ca="1" si="339"/>
        <v>0</v>
      </c>
      <c r="S739" s="307">
        <f t="shared" ca="1" si="340"/>
        <v>4.9929999999999914</v>
      </c>
      <c r="T739" s="304">
        <f t="shared" ca="1" si="320"/>
        <v>48.981329999999922</v>
      </c>
      <c r="U739" s="311">
        <f t="shared" ca="1" si="321"/>
        <v>0</v>
      </c>
      <c r="V739" s="306">
        <f t="shared" ca="1" si="322"/>
        <v>1.1416412370874831</v>
      </c>
      <c r="W739" s="304">
        <f t="shared" ca="1" si="323"/>
        <v>44.470915091483725</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0.90305198222927707</v>
      </c>
      <c r="AH739" s="304">
        <f t="shared" ca="1" si="347"/>
        <v>-8.8822520178325011</v>
      </c>
    </row>
    <row r="740" spans="1:34" x14ac:dyDescent="0.2">
      <c r="A740" s="347">
        <f t="shared" ca="1" si="325"/>
        <v>0.1</v>
      </c>
      <c r="B740" s="304">
        <f t="shared" ca="1" si="326"/>
        <v>37.600000000000222</v>
      </c>
      <c r="D740" s="306">
        <f t="shared" ca="1" si="327"/>
        <v>-0.62594886595077148</v>
      </c>
      <c r="E740" s="307">
        <f t="shared" ca="1" si="328"/>
        <v>-0.92537036379597026</v>
      </c>
      <c r="F740" s="304">
        <f t="shared" ca="1" si="329"/>
        <v>1.1171939370480592</v>
      </c>
      <c r="G740" s="306">
        <f t="shared" ca="1" si="330"/>
        <v>7.6380368829018828</v>
      </c>
      <c r="H740" s="307">
        <f t="shared" ca="1" si="331"/>
        <v>-109.39421479059361</v>
      </c>
      <c r="I740" s="304">
        <f t="shared" ca="1" si="332"/>
        <v>109.66053910625781</v>
      </c>
      <c r="J740" s="306">
        <f t="shared" ca="1" si="333"/>
        <v>890.88942952382013</v>
      </c>
      <c r="K740" s="307">
        <f t="shared" ca="1" si="334"/>
        <v>693.51302455386065</v>
      </c>
      <c r="L740" s="304">
        <f t="shared" ca="1" si="319"/>
        <v>1129.0014574229394</v>
      </c>
      <c r="M740" s="306">
        <f t="shared" ca="1" si="335"/>
        <v>-1.5010882415794953</v>
      </c>
      <c r="N740" s="304">
        <f t="shared" ca="1" si="336"/>
        <v>-86.00602091921921</v>
      </c>
      <c r="P740" s="310">
        <f t="shared" ca="1" si="337"/>
        <v>23</v>
      </c>
      <c r="Q740" s="304">
        <f t="shared" ca="1" si="338"/>
        <v>0</v>
      </c>
      <c r="R740" s="306">
        <f t="shared" ca="1" si="339"/>
        <v>0</v>
      </c>
      <c r="S740" s="307">
        <f t="shared" ca="1" si="340"/>
        <v>4.9929999999999914</v>
      </c>
      <c r="T740" s="304">
        <f t="shared" ca="1" si="320"/>
        <v>48.981329999999922</v>
      </c>
      <c r="U740" s="311">
        <f t="shared" ca="1" si="321"/>
        <v>0</v>
      </c>
      <c r="V740" s="306">
        <f t="shared" ca="1" si="322"/>
        <v>1.1428918094699105</v>
      </c>
      <c r="W740" s="304">
        <f t="shared" ca="1" si="323"/>
        <v>44.59111094606034</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0.87909134480489115</v>
      </c>
      <c r="AH740" s="304">
        <f t="shared" ca="1" si="347"/>
        <v>-8.9066523315609452</v>
      </c>
    </row>
    <row r="741" spans="1:34" x14ac:dyDescent="0.2">
      <c r="A741" s="347">
        <f t="shared" ca="1" si="325"/>
        <v>0.1</v>
      </c>
      <c r="B741" s="304">
        <f t="shared" ca="1" si="326"/>
        <v>37.700000000000223</v>
      </c>
      <c r="D741" s="306">
        <f t="shared" ca="1" si="327"/>
        <v>-0.62203969685871763</v>
      </c>
      <c r="E741" s="307">
        <f t="shared" ca="1" si="328"/>
        <v>-0.90096417709556142</v>
      </c>
      <c r="F741" s="304">
        <f t="shared" ca="1" si="329"/>
        <v>1.094837811220259</v>
      </c>
      <c r="G741" s="306">
        <f t="shared" ca="1" si="330"/>
        <v>7.5758329132160114</v>
      </c>
      <c r="H741" s="307">
        <f t="shared" ca="1" si="331"/>
        <v>-109.48431120830317</v>
      </c>
      <c r="I741" s="304">
        <f t="shared" ca="1" si="332"/>
        <v>109.74610537547811</v>
      </c>
      <c r="J741" s="306">
        <f t="shared" ca="1" si="333"/>
        <v>891.65012301362606</v>
      </c>
      <c r="K741" s="307">
        <f t="shared" ca="1" si="334"/>
        <v>682.56909825391585</v>
      </c>
      <c r="L741" s="304">
        <f t="shared" ca="1" si="319"/>
        <v>1122.916076900397</v>
      </c>
      <c r="M741" s="306">
        <f t="shared" ca="1" si="335"/>
        <v>-1.5017108446997776</v>
      </c>
      <c r="N741" s="304">
        <f t="shared" ca="1" si="336"/>
        <v>-86.041693450323066</v>
      </c>
      <c r="P741" s="310">
        <f t="shared" ca="1" si="337"/>
        <v>23</v>
      </c>
      <c r="Q741" s="304">
        <f t="shared" ca="1" si="338"/>
        <v>0</v>
      </c>
      <c r="R741" s="306">
        <f t="shared" ca="1" si="339"/>
        <v>0</v>
      </c>
      <c r="S741" s="307">
        <f t="shared" ca="1" si="340"/>
        <v>4.9929999999999914</v>
      </c>
      <c r="T741" s="304">
        <f t="shared" ca="1" si="320"/>
        <v>48.981329999999922</v>
      </c>
      <c r="U741" s="311">
        <f t="shared" ca="1" si="321"/>
        <v>0</v>
      </c>
      <c r="V741" s="306">
        <f t="shared" ca="1" si="322"/>
        <v>1.1441447502107813</v>
      </c>
      <c r="W741" s="304">
        <f t="shared" ca="1" si="323"/>
        <v>44.709686580669121</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0.8554499852466364</v>
      </c>
      <c r="AH741" s="304">
        <f t="shared" ca="1" si="347"/>
        <v>-8.9307252044983816</v>
      </c>
    </row>
    <row r="742" spans="1:34" x14ac:dyDescent="0.2">
      <c r="A742" s="347">
        <f t="shared" ca="1" si="325"/>
        <v>0.1</v>
      </c>
      <c r="B742" s="304">
        <f t="shared" ca="1" si="326"/>
        <v>37.800000000000225</v>
      </c>
      <c r="D742" s="306">
        <f t="shared" ca="1" si="327"/>
        <v>-0.61813214627810298</v>
      </c>
      <c r="E742" s="307">
        <f t="shared" ca="1" si="328"/>
        <v>-0.87688689597310265</v>
      </c>
      <c r="F742" s="304">
        <f t="shared" ca="1" si="329"/>
        <v>1.0728550594519826</v>
      </c>
      <c r="G742" s="306">
        <f t="shared" ca="1" si="330"/>
        <v>7.5140196985882008</v>
      </c>
      <c r="H742" s="307">
        <f t="shared" ca="1" si="331"/>
        <v>-109.57199989790048</v>
      </c>
      <c r="I742" s="304">
        <f t="shared" ca="1" si="332"/>
        <v>109.82933876545135</v>
      </c>
      <c r="J742" s="306">
        <f t="shared" ca="1" si="333"/>
        <v>892.40461564421628</v>
      </c>
      <c r="K742" s="307">
        <f t="shared" ca="1" si="334"/>
        <v>671.61628269860569</v>
      </c>
      <c r="L742" s="304">
        <f t="shared" ca="1" si="319"/>
        <v>1116.8949947103331</v>
      </c>
      <c r="M742" s="306">
        <f t="shared" ca="1" si="335"/>
        <v>-1.5023274282534849</v>
      </c>
      <c r="N742" s="304">
        <f t="shared" ca="1" si="336"/>
        <v>-86.077021085667667</v>
      </c>
      <c r="P742" s="310">
        <f t="shared" ca="1" si="337"/>
        <v>23</v>
      </c>
      <c r="Q742" s="304">
        <f t="shared" ca="1" si="338"/>
        <v>0</v>
      </c>
      <c r="R742" s="306">
        <f t="shared" ca="1" si="339"/>
        <v>0</v>
      </c>
      <c r="S742" s="307">
        <f t="shared" ca="1" si="340"/>
        <v>4.9929999999999914</v>
      </c>
      <c r="T742" s="304">
        <f t="shared" ca="1" si="320"/>
        <v>48.981329999999922</v>
      </c>
      <c r="U742" s="311">
        <f t="shared" ca="1" si="321"/>
        <v>0</v>
      </c>
      <c r="V742" s="306">
        <f t="shared" ca="1" si="322"/>
        <v>1.1454000369342781</v>
      </c>
      <c r="W742" s="304">
        <f t="shared" ca="1" si="323"/>
        <v>44.826656742888211</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0.83212512774158931</v>
      </c>
      <c r="AH742" s="304">
        <f t="shared" ca="1" si="347"/>
        <v>-8.9544735791446417</v>
      </c>
    </row>
    <row r="743" spans="1:34" x14ac:dyDescent="0.2">
      <c r="A743" s="347">
        <f t="shared" ca="1" si="325"/>
        <v>0.1</v>
      </c>
      <c r="B743" s="304">
        <f t="shared" ca="1" si="326"/>
        <v>37.900000000000226</v>
      </c>
      <c r="D743" s="306">
        <f t="shared" ca="1" si="327"/>
        <v>-0.61422677478178866</v>
      </c>
      <c r="E743" s="307">
        <f t="shared" ca="1" si="328"/>
        <v>-0.85313552487449407</v>
      </c>
      <c r="F743" s="304">
        <f t="shared" ca="1" si="329"/>
        <v>1.0512443838906902</v>
      </c>
      <c r="G743" s="306">
        <f t="shared" ca="1" si="330"/>
        <v>7.4525970211100221</v>
      </c>
      <c r="H743" s="307">
        <f t="shared" ca="1" si="331"/>
        <v>-109.65731345038793</v>
      </c>
      <c r="I743" s="304">
        <f t="shared" ca="1" si="332"/>
        <v>109.91027065527447</v>
      </c>
      <c r="J743" s="306">
        <f t="shared" ca="1" si="333"/>
        <v>893.15294648020119</v>
      </c>
      <c r="K743" s="307">
        <f t="shared" ca="1" si="334"/>
        <v>660.65481703119121</v>
      </c>
      <c r="L743" s="304">
        <f t="shared" ca="1" si="319"/>
        <v>1110.9396802134588</v>
      </c>
      <c r="M743" s="306">
        <f t="shared" ca="1" si="335"/>
        <v>-1.5029380675055048</v>
      </c>
      <c r="N743" s="304">
        <f t="shared" ca="1" si="336"/>
        <v>-86.112008137613444</v>
      </c>
      <c r="P743" s="310">
        <f t="shared" ca="1" si="337"/>
        <v>23</v>
      </c>
      <c r="Q743" s="304">
        <f t="shared" ca="1" si="338"/>
        <v>0</v>
      </c>
      <c r="R743" s="306">
        <f t="shared" ca="1" si="339"/>
        <v>0</v>
      </c>
      <c r="S743" s="307">
        <f t="shared" ca="1" si="340"/>
        <v>4.9929999999999914</v>
      </c>
      <c r="T743" s="304">
        <f t="shared" ca="1" si="320"/>
        <v>48.981329999999922</v>
      </c>
      <c r="U743" s="311">
        <f t="shared" ca="1" si="321"/>
        <v>0</v>
      </c>
      <c r="V743" s="306">
        <f t="shared" ca="1" si="322"/>
        <v>1.1466576475401857</v>
      </c>
      <c r="W743" s="304">
        <f t="shared" ca="1" si="323"/>
        <v>44.942036229022087</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0.80911398136621138</v>
      </c>
      <c r="AH743" s="304">
        <f t="shared" ca="1" si="347"/>
        <v>-8.9779004091504682</v>
      </c>
    </row>
    <row r="744" spans="1:34" x14ac:dyDescent="0.2">
      <c r="A744" s="347">
        <f t="shared" ca="1" si="325"/>
        <v>0.1</v>
      </c>
      <c r="B744" s="304">
        <f t="shared" ca="1" si="326"/>
        <v>38.000000000000227</v>
      </c>
      <c r="D744" s="306">
        <f t="shared" ca="1" si="327"/>
        <v>-0.61032412995720431</v>
      </c>
      <c r="E744" s="307">
        <f t="shared" ca="1" si="328"/>
        <v>-0.82970705842831194</v>
      </c>
      <c r="F744" s="304">
        <f t="shared" ca="1" si="329"/>
        <v>1.0300045370840756</v>
      </c>
      <c r="G744" s="306">
        <f t="shared" ca="1" si="330"/>
        <v>7.3915646081143018</v>
      </c>
      <c r="H744" s="307">
        <f t="shared" ca="1" si="331"/>
        <v>-109.74028415623076</v>
      </c>
      <c r="I744" s="304">
        <f t="shared" ca="1" si="332"/>
        <v>109.9889321434034</v>
      </c>
      <c r="J744" s="306">
        <f t="shared" ca="1" si="333"/>
        <v>893.89515456166237</v>
      </c>
      <c r="K744" s="307">
        <f t="shared" ca="1" si="334"/>
        <v>649.68493715086026</v>
      </c>
      <c r="L744" s="304">
        <f t="shared" ca="1" si="319"/>
        <v>1105.0516118759049</v>
      </c>
      <c r="M744" s="306">
        <f t="shared" ca="1" si="335"/>
        <v>-1.5035428363495982</v>
      </c>
      <c r="N744" s="304">
        <f t="shared" ca="1" si="336"/>
        <v>-86.146658839960992</v>
      </c>
      <c r="P744" s="310">
        <f t="shared" ca="1" si="337"/>
        <v>23</v>
      </c>
      <c r="Q744" s="304">
        <f t="shared" ca="1" si="338"/>
        <v>0</v>
      </c>
      <c r="R744" s="306">
        <f t="shared" ca="1" si="339"/>
        <v>0</v>
      </c>
      <c r="S744" s="307">
        <f t="shared" ca="1" si="340"/>
        <v>4.9929999999999914</v>
      </c>
      <c r="T744" s="304">
        <f t="shared" ca="1" si="320"/>
        <v>48.981329999999922</v>
      </c>
      <c r="U744" s="311">
        <f t="shared" ca="1" si="321"/>
        <v>0</v>
      </c>
      <c r="V744" s="306">
        <f t="shared" ca="1" si="322"/>
        <v>1.1479175602018057</v>
      </c>
      <c r="W744" s="304">
        <f t="shared" ca="1" si="323"/>
        <v>45.055839877348198</v>
      </c>
      <c r="Y744" s="314" t="str">
        <f t="shared" ca="1" si="341"/>
        <v/>
      </c>
      <c r="Z744" s="315" t="str">
        <f t="shared" ca="1" si="342"/>
        <v/>
      </c>
      <c r="AA744" s="316" t="str">
        <f t="shared" ca="1" si="343"/>
        <v/>
      </c>
      <c r="AC744" s="310">
        <f t="shared" ca="1" si="344"/>
        <v>38.000000000000227</v>
      </c>
      <c r="AD744" s="323">
        <f t="shared" ca="1" si="345"/>
        <v>893.89515456166237</v>
      </c>
      <c r="AE744" s="324" t="e">
        <f t="shared" ca="1" si="324"/>
        <v>#N/A</v>
      </c>
      <c r="AG744" s="306">
        <f t="shared" ca="1" si="346"/>
        <v>0.78641374159052901</v>
      </c>
      <c r="AH744" s="304">
        <f t="shared" ca="1" si="347"/>
        <v>-9.001008657925528</v>
      </c>
    </row>
    <row r="745" spans="1:34" x14ac:dyDescent="0.2">
      <c r="A745" s="347">
        <f t="shared" ca="1" si="325"/>
        <v>0.1</v>
      </c>
      <c r="B745" s="304">
        <f t="shared" ca="1" si="326"/>
        <v>38.100000000000229</v>
      </c>
      <c r="D745" s="306">
        <f t="shared" ca="1" si="327"/>
        <v>-0.60642474656186829</v>
      </c>
      <c r="E745" s="307">
        <f t="shared" ca="1" si="328"/>
        <v>-0.80659848281466218</v>
      </c>
      <c r="F745" s="304">
        <f t="shared" ca="1" si="329"/>
        <v>1.0091343249149447</v>
      </c>
      <c r="G745" s="306">
        <f t="shared" ca="1" si="330"/>
        <v>7.3309221334581149</v>
      </c>
      <c r="H745" s="307">
        <f t="shared" ca="1" si="331"/>
        <v>-109.82094400451223</v>
      </c>
      <c r="I745" s="304">
        <f t="shared" ca="1" si="332"/>
        <v>110.06535404644386</v>
      </c>
      <c r="J745" s="306">
        <f t="shared" ca="1" si="333"/>
        <v>894.63127889874102</v>
      </c>
      <c r="K745" s="307">
        <f t="shared" ca="1" si="334"/>
        <v>638.70687574282306</v>
      </c>
      <c r="L745" s="304">
        <f t="shared" ca="1" si="319"/>
        <v>1099.2322767755481</v>
      </c>
      <c r="M745" s="306">
        <f t="shared" ca="1" si="335"/>
        <v>-1.5041418073416279</v>
      </c>
      <c r="N745" s="304">
        <f t="shared" ca="1" si="336"/>
        <v>-86.18097734985507</v>
      </c>
      <c r="P745" s="310">
        <f t="shared" ca="1" si="337"/>
        <v>23</v>
      </c>
      <c r="Q745" s="304">
        <f t="shared" ca="1" si="338"/>
        <v>0</v>
      </c>
      <c r="R745" s="306">
        <f t="shared" ca="1" si="339"/>
        <v>0</v>
      </c>
      <c r="S745" s="307">
        <f t="shared" ca="1" si="340"/>
        <v>4.9929999999999914</v>
      </c>
      <c r="T745" s="304">
        <f t="shared" ca="1" si="320"/>
        <v>48.981329999999922</v>
      </c>
      <c r="U745" s="311">
        <f t="shared" ca="1" si="321"/>
        <v>0</v>
      </c>
      <c r="V745" s="306">
        <f t="shared" ca="1" si="322"/>
        <v>1.1491797533638552</v>
      </c>
      <c r="W745" s="304">
        <f t="shared" ca="1" si="323"/>
        <v>45.168082561557952</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0.76402159173916573</v>
      </c>
      <c r="AH745" s="304">
        <f t="shared" ca="1" si="347"/>
        <v>-9.0238012972858552</v>
      </c>
    </row>
    <row r="746" spans="1:34" x14ac:dyDescent="0.2">
      <c r="A746" s="347">
        <f t="shared" ca="1" si="325"/>
        <v>0.1</v>
      </c>
      <c r="B746" s="304">
        <f t="shared" ca="1" si="326"/>
        <v>38.20000000000023</v>
      </c>
      <c r="D746" s="306">
        <f t="shared" ca="1" si="327"/>
        <v>-0.60252914668032409</v>
      </c>
      <c r="E746" s="307">
        <f t="shared" ca="1" si="328"/>
        <v>-0.78380677709465729</v>
      </c>
      <c r="F746" s="304">
        <f t="shared" ca="1" si="329"/>
        <v>0.98863260942517639</v>
      </c>
      <c r="G746" s="306">
        <f t="shared" ca="1" si="330"/>
        <v>7.2706692187900828</v>
      </c>
      <c r="H746" s="307">
        <f t="shared" ca="1" si="331"/>
        <v>-109.89932468222169</v>
      </c>
      <c r="I746" s="304">
        <f t="shared" ca="1" si="332"/>
        <v>110.13956689808364</v>
      </c>
      <c r="J746" s="306">
        <f t="shared" ca="1" si="333"/>
        <v>895.36135846635341</v>
      </c>
      <c r="K746" s="307">
        <f t="shared" ca="1" si="334"/>
        <v>627.7208623084864</v>
      </c>
      <c r="L746" s="304">
        <f t="shared" ca="1" si="319"/>
        <v>1093.4831700634552</v>
      </c>
      <c r="M746" s="306">
        <f t="shared" ca="1" si="335"/>
        <v>-1.5047350517318374</v>
      </c>
      <c r="N746" s="304">
        <f t="shared" ca="1" si="336"/>
        <v>-86.214967749633885</v>
      </c>
      <c r="P746" s="310">
        <f t="shared" ca="1" si="337"/>
        <v>23</v>
      </c>
      <c r="Q746" s="304">
        <f t="shared" ca="1" si="338"/>
        <v>0</v>
      </c>
      <c r="R746" s="306">
        <f t="shared" ca="1" si="339"/>
        <v>0</v>
      </c>
      <c r="S746" s="307">
        <f t="shared" ca="1" si="340"/>
        <v>4.9929999999999914</v>
      </c>
      <c r="T746" s="304">
        <f t="shared" ca="1" si="320"/>
        <v>48.981329999999922</v>
      </c>
      <c r="U746" s="311">
        <f t="shared" ca="1" si="321"/>
        <v>0</v>
      </c>
      <c r="V746" s="306">
        <f t="shared" ca="1" si="322"/>
        <v>1.1504442057403483</v>
      </c>
      <c r="W746" s="304">
        <f t="shared" ca="1" si="323"/>
        <v>45.278779184388704</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0.7419347044098803</v>
      </c>
      <c r="AH746" s="304">
        <f t="shared" ca="1" si="347"/>
        <v>-9.0462813061402017</v>
      </c>
    </row>
    <row r="747" spans="1:34" x14ac:dyDescent="0.2">
      <c r="A747" s="347">
        <f t="shared" ca="1" si="325"/>
        <v>0.1</v>
      </c>
      <c r="B747" s="304">
        <f t="shared" ca="1" si="326"/>
        <v>38.300000000000232</v>
      </c>
      <c r="D747" s="306">
        <f t="shared" ca="1" si="327"/>
        <v>-0.59863783988233421</v>
      </c>
      <c r="E747" s="307">
        <f t="shared" ca="1" si="328"/>
        <v>-0.76132891450114215</v>
      </c>
      <c r="F747" s="304">
        <f t="shared" ca="1" si="329"/>
        <v>0.96849831150832399</v>
      </c>
      <c r="G747" s="306">
        <f t="shared" ca="1" si="330"/>
        <v>7.2108054348018493</v>
      </c>
      <c r="H747" s="307">
        <f t="shared" ca="1" si="331"/>
        <v>-109.9754575736718</v>
      </c>
      <c r="I747" s="304">
        <f t="shared" ca="1" si="332"/>
        <v>110.21160094816268</v>
      </c>
      <c r="J747" s="306">
        <f t="shared" ca="1" si="333"/>
        <v>896.08543219903299</v>
      </c>
      <c r="K747" s="307">
        <f t="shared" ca="1" si="334"/>
        <v>616.72712319569177</v>
      </c>
      <c r="L747" s="304">
        <f t="shared" ca="1" si="319"/>
        <v>1087.8057943790159</v>
      </c>
      <c r="M747" s="306">
        <f t="shared" ca="1" si="335"/>
        <v>-1.5053226394962067</v>
      </c>
      <c r="N747" s="304">
        <f t="shared" ca="1" si="336"/>
        <v>-86.24863404862576</v>
      </c>
      <c r="P747" s="310">
        <f t="shared" ca="1" si="337"/>
        <v>23</v>
      </c>
      <c r="Q747" s="304">
        <f t="shared" ca="1" si="338"/>
        <v>0</v>
      </c>
      <c r="R747" s="306">
        <f t="shared" ca="1" si="339"/>
        <v>0</v>
      </c>
      <c r="S747" s="307">
        <f t="shared" ca="1" si="340"/>
        <v>4.9929999999999914</v>
      </c>
      <c r="T747" s="304">
        <f t="shared" ca="1" si="320"/>
        <v>48.981329999999922</v>
      </c>
      <c r="U747" s="311">
        <f t="shared" ca="1" si="321"/>
        <v>0</v>
      </c>
      <c r="V747" s="306">
        <f t="shared" ca="1" si="322"/>
        <v>1.151710896312468</v>
      </c>
      <c r="W747" s="304">
        <f t="shared" ca="1" si="323"/>
        <v>45.387944671444799</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0.72015024285036411</v>
      </c>
      <c r="AH747" s="304">
        <f t="shared" ca="1" si="347"/>
        <v>-9.0684516692146566</v>
      </c>
    </row>
    <row r="748" spans="1:34" x14ac:dyDescent="0.2">
      <c r="A748" s="347">
        <f t="shared" ca="1" si="325"/>
        <v>0.1</v>
      </c>
      <c r="B748" s="304">
        <f t="shared" ca="1" si="326"/>
        <v>38.400000000000233</v>
      </c>
      <c r="D748" s="306">
        <f t="shared" ca="1" si="327"/>
        <v>-0.59475132338219738</v>
      </c>
      <c r="E748" s="307">
        <f t="shared" ca="1" si="328"/>
        <v>-0.73916186369110548</v>
      </c>
      <c r="F748" s="304">
        <f t="shared" ca="1" si="329"/>
        <v>0.94873041344745745</v>
      </c>
      <c r="G748" s="306">
        <f t="shared" ca="1" si="330"/>
        <v>7.1513303024636299</v>
      </c>
      <c r="H748" s="307">
        <f t="shared" ca="1" si="331"/>
        <v>-110.04937376004091</v>
      </c>
      <c r="I748" s="304">
        <f t="shared" ca="1" si="332"/>
        <v>110.2814861618763</v>
      </c>
      <c r="J748" s="306">
        <f t="shared" ca="1" si="333"/>
        <v>896.80353898589624</v>
      </c>
      <c r="K748" s="307">
        <f t="shared" ca="1" si="334"/>
        <v>605.72588162900615</v>
      </c>
      <c r="L748" s="304">
        <f t="shared" ca="1" si="319"/>
        <v>1082.2016592173868</v>
      </c>
      <c r="M748" s="306">
        <f t="shared" ca="1" si="335"/>
        <v>-1.505904639366918</v>
      </c>
      <c r="N748" s="304">
        <f t="shared" ca="1" si="336"/>
        <v>-86.281980184894678</v>
      </c>
      <c r="P748" s="310">
        <f t="shared" ca="1" si="337"/>
        <v>23</v>
      </c>
      <c r="Q748" s="304">
        <f t="shared" ca="1" si="338"/>
        <v>0</v>
      </c>
      <c r="R748" s="306">
        <f t="shared" ca="1" si="339"/>
        <v>0</v>
      </c>
      <c r="S748" s="307">
        <f t="shared" ca="1" si="340"/>
        <v>4.9929999999999914</v>
      </c>
      <c r="T748" s="304">
        <f t="shared" ca="1" si="320"/>
        <v>48.981329999999922</v>
      </c>
      <c r="U748" s="311">
        <f t="shared" ca="1" si="321"/>
        <v>0</v>
      </c>
      <c r="V748" s="306">
        <f t="shared" ca="1" si="322"/>
        <v>1.1529798043264206</v>
      </c>
      <c r="W748" s="304">
        <f t="shared" ca="1" si="323"/>
        <v>45.495593965204172</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0.69866536229388743</v>
      </c>
      <c r="AH748" s="304">
        <f t="shared" ca="1" si="347"/>
        <v>-9.0903153758151163</v>
      </c>
    </row>
    <row r="749" spans="1:34" x14ac:dyDescent="0.2">
      <c r="A749" s="347">
        <f t="shared" ca="1" si="325"/>
        <v>0.1</v>
      </c>
      <c r="B749" s="304">
        <f t="shared" ca="1" si="326"/>
        <v>38.500000000000234</v>
      </c>
      <c r="D749" s="306">
        <f t="shared" ca="1" si="327"/>
        <v>-0.59087008219904014</v>
      </c>
      <c r="E749" s="307">
        <f t="shared" ca="1" si="328"/>
        <v>-0.71730258996046103</v>
      </c>
      <c r="F749" s="304">
        <f t="shared" ca="1" si="329"/>
        <v>0.92932796127195361</v>
      </c>
      <c r="G749" s="306">
        <f t="shared" ca="1" si="330"/>
        <v>7.0922432942437261</v>
      </c>
      <c r="H749" s="307">
        <f t="shared" ca="1" si="331"/>
        <v>-110.12110401903695</v>
      </c>
      <c r="I749" s="304">
        <f t="shared" ca="1" si="332"/>
        <v>110.34925221910795</v>
      </c>
      <c r="J749" s="306">
        <f t="shared" ca="1" si="333"/>
        <v>897.51571766573159</v>
      </c>
      <c r="K749" s="307">
        <f t="shared" ca="1" si="334"/>
        <v>594.71735774005231</v>
      </c>
      <c r="L749" s="304">
        <f t="shared" ca="1" si="319"/>
        <v>1076.6722802479603</v>
      </c>
      <c r="M749" s="306">
        <f t="shared" ca="1" si="335"/>
        <v>-1.5064811188619602</v>
      </c>
      <c r="N749" s="304">
        <f t="shared" ca="1" si="336"/>
        <v>-86.315010026936434</v>
      </c>
      <c r="P749" s="310">
        <f t="shared" ca="1" si="337"/>
        <v>23</v>
      </c>
      <c r="Q749" s="304">
        <f t="shared" ca="1" si="338"/>
        <v>0</v>
      </c>
      <c r="R749" s="306">
        <f t="shared" ca="1" si="339"/>
        <v>0</v>
      </c>
      <c r="S749" s="307">
        <f t="shared" ca="1" si="340"/>
        <v>4.9929999999999914</v>
      </c>
      <c r="T749" s="304">
        <f t="shared" ca="1" si="320"/>
        <v>48.981329999999922</v>
      </c>
      <c r="U749" s="311">
        <f t="shared" ca="1" si="321"/>
        <v>0</v>
      </c>
      <c r="V749" s="306">
        <f t="shared" ca="1" si="322"/>
        <v>1.1542509092912836</v>
      </c>
      <c r="W749" s="304">
        <f t="shared" ca="1" si="323"/>
        <v>45.601742019208089</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0.67747721125454774</v>
      </c>
      <c r="AH749" s="304">
        <f t="shared" ca="1" si="347"/>
        <v>-9.1118754186269282</v>
      </c>
    </row>
    <row r="750" spans="1:34" x14ac:dyDescent="0.2">
      <c r="A750" s="347">
        <f t="shared" ca="1" si="325"/>
        <v>0.1</v>
      </c>
      <c r="B750" s="304">
        <f t="shared" ca="1" si="326"/>
        <v>38.600000000000236</v>
      </c>
      <c r="D750" s="306">
        <f t="shared" ca="1" si="327"/>
        <v>-0.58699458931792414</v>
      </c>
      <c r="E750" s="307">
        <f t="shared" ca="1" si="328"/>
        <v>-0.69574805642169935</v>
      </c>
      <c r="F750" s="304">
        <f t="shared" ca="1" si="329"/>
        <v>0.91029006690345171</v>
      </c>
      <c r="G750" s="306">
        <f t="shared" ca="1" si="330"/>
        <v>7.0335438353119333</v>
      </c>
      <c r="H750" s="307">
        <f t="shared" ca="1" si="331"/>
        <v>-110.19067882467913</v>
      </c>
      <c r="I750" s="304">
        <f t="shared" ca="1" si="332"/>
        <v>110.41492851388729</v>
      </c>
      <c r="J750" s="306">
        <f t="shared" ca="1" si="333"/>
        <v>898.22200702220937</v>
      </c>
      <c r="K750" s="307">
        <f t="shared" ca="1" si="334"/>
        <v>583.70176859786648</v>
      </c>
      <c r="L750" s="304">
        <f t="shared" ca="1" si="319"/>
        <v>1071.2191785826481</v>
      </c>
      <c r="M750" s="306">
        <f t="shared" ca="1" si="335"/>
        <v>-1.507052144313898</v>
      </c>
      <c r="N750" s="304">
        <f t="shared" ca="1" si="336"/>
        <v>-86.347727375327025</v>
      </c>
      <c r="P750" s="310">
        <f t="shared" ca="1" si="337"/>
        <v>23</v>
      </c>
      <c r="Q750" s="304">
        <f t="shared" ca="1" si="338"/>
        <v>0</v>
      </c>
      <c r="R750" s="306">
        <f t="shared" ca="1" si="339"/>
        <v>0</v>
      </c>
      <c r="S750" s="307">
        <f t="shared" ca="1" si="340"/>
        <v>4.9929999999999914</v>
      </c>
      <c r="T750" s="304">
        <f t="shared" ca="1" si="320"/>
        <v>48.981329999999922</v>
      </c>
      <c r="U750" s="311">
        <f t="shared" ca="1" si="321"/>
        <v>0</v>
      </c>
      <c r="V750" s="306">
        <f t="shared" ca="1" si="322"/>
        <v>1.1555241909768406</v>
      </c>
      <c r="W750" s="304">
        <f t="shared" ca="1" si="323"/>
        <v>45.706403792430883</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0.65658293278278812</v>
      </c>
      <c r="AH750" s="304">
        <f t="shared" ca="1" si="347"/>
        <v>-9.1331347925512052</v>
      </c>
    </row>
    <row r="751" spans="1:34" x14ac:dyDescent="0.2">
      <c r="A751" s="347">
        <f t="shared" ca="1" si="325"/>
        <v>0.1</v>
      </c>
      <c r="B751" s="304">
        <f t="shared" ca="1" si="326"/>
        <v>38.700000000000237</v>
      </c>
      <c r="D751" s="306">
        <f t="shared" ca="1" si="327"/>
        <v>-0.58312530585166689</v>
      </c>
      <c r="E751" s="307">
        <f t="shared" ca="1" si="328"/>
        <v>-0.67449522514504068</v>
      </c>
      <c r="F751" s="304">
        <f t="shared" ca="1" si="329"/>
        <v>0.89161591005772167</v>
      </c>
      <c r="G751" s="306">
        <f t="shared" ca="1" si="330"/>
        <v>6.9752313047267664</v>
      </c>
      <c r="H751" s="307">
        <f t="shared" ca="1" si="331"/>
        <v>-110.25812834719363</v>
      </c>
      <c r="I751" s="304">
        <f t="shared" ca="1" si="332"/>
        <v>110.47854415396985</v>
      </c>
      <c r="J751" s="306">
        <f t="shared" ca="1" si="333"/>
        <v>898.92244577921133</v>
      </c>
      <c r="K751" s="307">
        <f t="shared" ca="1" si="334"/>
        <v>572.67932823927288</v>
      </c>
      <c r="L751" s="304">
        <f t="shared" ca="1" si="319"/>
        <v>1065.843879992874</v>
      </c>
      <c r="M751" s="306">
        <f t="shared" ca="1" si="335"/>
        <v>-1.507617780897833</v>
      </c>
      <c r="N751" s="304">
        <f t="shared" ca="1" si="336"/>
        <v>-86.380135964324694</v>
      </c>
      <c r="P751" s="310">
        <f t="shared" ca="1" si="337"/>
        <v>23</v>
      </c>
      <c r="Q751" s="304">
        <f t="shared" ca="1" si="338"/>
        <v>0</v>
      </c>
      <c r="R751" s="306">
        <f t="shared" ca="1" si="339"/>
        <v>0</v>
      </c>
      <c r="S751" s="307">
        <f t="shared" ca="1" si="340"/>
        <v>4.9929999999999914</v>
      </c>
      <c r="T751" s="304">
        <f t="shared" ca="1" si="320"/>
        <v>48.981329999999922</v>
      </c>
      <c r="U751" s="311">
        <f t="shared" ca="1" si="321"/>
        <v>0</v>
      </c>
      <c r="V751" s="306">
        <f t="shared" ca="1" si="322"/>
        <v>1.1567996294114065</v>
      </c>
      <c r="W751" s="304">
        <f t="shared" ca="1" si="323"/>
        <v>45.80959424382695</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0.63597966568186948</v>
      </c>
      <c r="AH751" s="304">
        <f t="shared" ca="1" si="347"/>
        <v>-9.1540964935771996</v>
      </c>
    </row>
    <row r="752" spans="1:34" x14ac:dyDescent="0.2">
      <c r="A752" s="347">
        <f t="shared" ca="1" si="325"/>
        <v>0.1</v>
      </c>
      <c r="B752" s="304">
        <f t="shared" ca="1" si="326"/>
        <v>38.800000000000239</v>
      </c>
      <c r="D752" s="306">
        <f t="shared" ca="1" si="327"/>
        <v>-0.57926268120322544</v>
      </c>
      <c r="E752" s="307">
        <f t="shared" ca="1" si="328"/>
        <v>-0.65354105826363806</v>
      </c>
      <c r="F752" s="304">
        <f t="shared" ca="1" si="329"/>
        <v>0.87330473986524637</v>
      </c>
      <c r="G752" s="306">
        <f t="shared" ca="1" si="330"/>
        <v>6.9173050366064439</v>
      </c>
      <c r="H752" s="307">
        <f t="shared" ca="1" si="331"/>
        <v>-110.32348245301999</v>
      </c>
      <c r="I752" s="304">
        <f t="shared" ca="1" si="332"/>
        <v>110.54012796053419</v>
      </c>
      <c r="J752" s="306">
        <f t="shared" ca="1" si="333"/>
        <v>899.61707259627804</v>
      </c>
      <c r="K752" s="307">
        <f t="shared" ca="1" si="334"/>
        <v>561.6502476992622</v>
      </c>
      <c r="L752" s="304">
        <f t="shared" ca="1" si="319"/>
        <v>1060.5479140742957</v>
      </c>
      <c r="M752" s="306">
        <f t="shared" ca="1" si="335"/>
        <v>-1.5081780926585837</v>
      </c>
      <c r="N752" s="304">
        <f t="shared" ca="1" si="336"/>
        <v>-86.412239463427255</v>
      </c>
      <c r="P752" s="310">
        <f t="shared" ca="1" si="337"/>
        <v>23</v>
      </c>
      <c r="Q752" s="304">
        <f t="shared" ca="1" si="338"/>
        <v>0</v>
      </c>
      <c r="R752" s="306">
        <f t="shared" ca="1" si="339"/>
        <v>0</v>
      </c>
      <c r="S752" s="307">
        <f t="shared" ca="1" si="340"/>
        <v>4.9929999999999914</v>
      </c>
      <c r="T752" s="304">
        <f t="shared" ca="1" si="320"/>
        <v>48.981329999999922</v>
      </c>
      <c r="U752" s="311">
        <f t="shared" ca="1" si="321"/>
        <v>0</v>
      </c>
      <c r="V752" s="306">
        <f t="shared" ca="1" si="322"/>
        <v>1.1580772048796444</v>
      </c>
      <c r="W752" s="304">
        <f t="shared" ca="1" si="323"/>
        <v>45.911328327051777</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0.61566454568599838</v>
      </c>
      <c r="AH752" s="304">
        <f t="shared" ca="1" si="347"/>
        <v>-9.1747635176901721</v>
      </c>
    </row>
    <row r="753" spans="1:34" x14ac:dyDescent="0.2">
      <c r="A753" s="347">
        <f t="shared" ca="1" si="325"/>
        <v>0.1</v>
      </c>
      <c r="B753" s="304">
        <f t="shared" ca="1" si="326"/>
        <v>38.90000000000024</v>
      </c>
      <c r="D753" s="306">
        <f t="shared" ca="1" si="327"/>
        <v>-0.57540715322852376</v>
      </c>
      <c r="E753" s="307">
        <f t="shared" ca="1" si="328"/>
        <v>-0.63288251904352144</v>
      </c>
      <c r="F753" s="304">
        <f t="shared" ca="1" si="329"/>
        <v>0.8553558761693445</v>
      </c>
      <c r="G753" s="306">
        <f t="shared" ca="1" si="330"/>
        <v>6.8597643212835919</v>
      </c>
      <c r="H753" s="307">
        <f t="shared" ca="1" si="331"/>
        <v>-110.38677070492434</v>
      </c>
      <c r="I753" s="304">
        <f t="shared" ca="1" si="332"/>
        <v>110.59970846799325</v>
      </c>
      <c r="J753" s="306">
        <f t="shared" ca="1" si="333"/>
        <v>900.30592606417258</v>
      </c>
      <c r="K753" s="307">
        <f t="shared" ca="1" si="334"/>
        <v>550.61473504136495</v>
      </c>
      <c r="L753" s="304">
        <f t="shared" ca="1" si="319"/>
        <v>1055.3328133583925</v>
      </c>
      <c r="M753" s="306">
        <f t="shared" ca="1" si="335"/>
        <v>-1.5087331425371073</v>
      </c>
      <c r="N753" s="304">
        <f t="shared" ca="1" si="336"/>
        <v>-86.444041478885907</v>
      </c>
      <c r="P753" s="310">
        <f t="shared" ca="1" si="337"/>
        <v>23</v>
      </c>
      <c r="Q753" s="304">
        <f t="shared" ca="1" si="338"/>
        <v>0</v>
      </c>
      <c r="R753" s="306">
        <f t="shared" ca="1" si="339"/>
        <v>0</v>
      </c>
      <c r="S753" s="307">
        <f t="shared" ca="1" si="340"/>
        <v>4.9929999999999914</v>
      </c>
      <c r="T753" s="304">
        <f t="shared" ca="1" si="320"/>
        <v>48.981329999999922</v>
      </c>
      <c r="U753" s="311">
        <f t="shared" ca="1" si="321"/>
        <v>0</v>
      </c>
      <c r="V753" s="306">
        <f t="shared" ca="1" si="322"/>
        <v>1.1593568979203759</v>
      </c>
      <c r="W753" s="304">
        <f t="shared" ca="1" si="323"/>
        <v>46.011620985354597</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0.59563470660085649</v>
      </c>
      <c r="AH753" s="304">
        <f t="shared" ca="1" si="347"/>
        <v>-9.1951388598141115</v>
      </c>
    </row>
    <row r="754" spans="1:34" x14ac:dyDescent="0.2">
      <c r="A754" s="347">
        <f t="shared" ca="1" si="325"/>
        <v>0.1</v>
      </c>
      <c r="B754" s="304">
        <f t="shared" ca="1" si="326"/>
        <v>39.000000000000242</v>
      </c>
      <c r="D754" s="306">
        <f t="shared" ca="1" si="327"/>
        <v>-0.5715591483996092</v>
      </c>
      <c r="E754" s="307">
        <f t="shared" ca="1" si="328"/>
        <v>-0.61251657291870742</v>
      </c>
      <c r="F754" s="304">
        <f t="shared" ca="1" si="329"/>
        <v>0.83776871045615253</v>
      </c>
      <c r="G754" s="306">
        <f t="shared" ca="1" si="330"/>
        <v>6.802608406443631</v>
      </c>
      <c r="H754" s="307">
        <f t="shared" ca="1" si="331"/>
        <v>-110.44802236221622</v>
      </c>
      <c r="I754" s="304">
        <f t="shared" ca="1" si="332"/>
        <v>110.65731392391572</v>
      </c>
      <c r="J754" s="306">
        <f t="shared" ca="1" si="333"/>
        <v>900.98904470055891</v>
      </c>
      <c r="K754" s="307">
        <f t="shared" ca="1" si="334"/>
        <v>539.57299538800794</v>
      </c>
      <c r="L754" s="304">
        <f t="shared" ca="1" si="319"/>
        <v>1050.2001123702155</v>
      </c>
      <c r="M754" s="306">
        <f t="shared" ca="1" si="335"/>
        <v>-1.5092829923961899</v>
      </c>
      <c r="N754" s="304">
        <f t="shared" ca="1" si="336"/>
        <v>-86.475545555177206</v>
      </c>
      <c r="P754" s="310">
        <f t="shared" ca="1" si="337"/>
        <v>23</v>
      </c>
      <c r="Q754" s="304">
        <f t="shared" ca="1" si="338"/>
        <v>0</v>
      </c>
      <c r="R754" s="306">
        <f t="shared" ca="1" si="339"/>
        <v>0</v>
      </c>
      <c r="S754" s="307">
        <f t="shared" ca="1" si="340"/>
        <v>4.9929999999999914</v>
      </c>
      <c r="T754" s="304">
        <f t="shared" ca="1" si="320"/>
        <v>48.981329999999922</v>
      </c>
      <c r="U754" s="311">
        <f t="shared" ca="1" si="321"/>
        <v>0</v>
      </c>
      <c r="V754" s="306">
        <f t="shared" ca="1" si="322"/>
        <v>1.1606386893243861</v>
      </c>
      <c r="W754" s="304">
        <f t="shared" ca="1" si="323"/>
        <v>46.110487146639144</v>
      </c>
      <c r="Y754" s="314" t="str">
        <f t="shared" ca="1" si="341"/>
        <v/>
      </c>
      <c r="Z754" s="315" t="str">
        <f t="shared" ca="1" si="342"/>
        <v/>
      </c>
      <c r="AA754" s="316" t="str">
        <f t="shared" ca="1" si="343"/>
        <v/>
      </c>
      <c r="AC754" s="310">
        <f t="shared" ca="1" si="344"/>
        <v>39.000000000000242</v>
      </c>
      <c r="AD754" s="323">
        <f t="shared" ca="1" si="345"/>
        <v>900.98904470055891</v>
      </c>
      <c r="AE754" s="324" t="e">
        <f t="shared" ca="1" si="324"/>
        <v>#N/A</v>
      </c>
      <c r="AG754" s="306">
        <f t="shared" ca="1" si="346"/>
        <v>0.57588728140708412</v>
      </c>
      <c r="AH754" s="304">
        <f t="shared" ca="1" si="347"/>
        <v>-9.2152255127888392</v>
      </c>
    </row>
    <row r="755" spans="1:34" x14ac:dyDescent="0.2">
      <c r="A755" s="347">
        <f t="shared" ca="1" si="325"/>
        <v>0.1</v>
      </c>
      <c r="B755" s="304">
        <f t="shared" ca="1" si="326"/>
        <v>39.100000000000243</v>
      </c>
      <c r="D755" s="306">
        <f t="shared" ca="1" si="327"/>
        <v>-0.56771908196801046</v>
      </c>
      <c r="E755" s="307">
        <f t="shared" ca="1" si="328"/>
        <v>-0.59244018849224922</v>
      </c>
      <c r="F755" s="304">
        <f t="shared" ca="1" si="329"/>
        <v>0.82054270636654403</v>
      </c>
      <c r="G755" s="306">
        <f t="shared" ca="1" si="330"/>
        <v>6.7458364982468302</v>
      </c>
      <c r="H755" s="307">
        <f t="shared" ca="1" si="331"/>
        <v>-110.50726638106545</v>
      </c>
      <c r="I755" s="304">
        <f t="shared" ca="1" si="332"/>
        <v>110.71297228905399</v>
      </c>
      <c r="J755" s="306">
        <f t="shared" ca="1" si="333"/>
        <v>901.66646694579345</v>
      </c>
      <c r="K755" s="307">
        <f t="shared" ca="1" si="334"/>
        <v>528.52523095084382</v>
      </c>
      <c r="L755" s="304">
        <f t="shared" ca="1" si="319"/>
        <v>1045.151346631746</v>
      </c>
      <c r="M755" s="306">
        <f t="shared" ca="1" si="335"/>
        <v>-1.5098277030454239</v>
      </c>
      <c r="N755" s="304">
        <f t="shared" ca="1" si="336"/>
        <v>-86.50675517643414</v>
      </c>
      <c r="P755" s="310">
        <f t="shared" ca="1" si="337"/>
        <v>23</v>
      </c>
      <c r="Q755" s="304">
        <f t="shared" ca="1" si="338"/>
        <v>0</v>
      </c>
      <c r="R755" s="306">
        <f t="shared" ca="1" si="339"/>
        <v>0</v>
      </c>
      <c r="S755" s="307">
        <f t="shared" ca="1" si="340"/>
        <v>4.9929999999999914</v>
      </c>
      <c r="T755" s="304">
        <f t="shared" ca="1" si="320"/>
        <v>48.981329999999922</v>
      </c>
      <c r="U755" s="311">
        <f t="shared" ca="1" si="321"/>
        <v>0</v>
      </c>
      <c r="V755" s="306">
        <f t="shared" ca="1" si="322"/>
        <v>1.1619225601322172</v>
      </c>
      <c r="W755" s="304">
        <f t="shared" ca="1" si="323"/>
        <v>46.207941718689547</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0.55641940332754025</v>
      </c>
      <c r="AH755" s="304">
        <f t="shared" ca="1" si="347"/>
        <v>-9.2350264663807771</v>
      </c>
    </row>
    <row r="756" spans="1:34" x14ac:dyDescent="0.2">
      <c r="A756" s="347">
        <f t="shared" ca="1" si="325"/>
        <v>0.1</v>
      </c>
      <c r="B756" s="304">
        <f t="shared" ca="1" si="326"/>
        <v>39.200000000000244</v>
      </c>
      <c r="D756" s="306">
        <f t="shared" ca="1" si="327"/>
        <v>-0.56388735812820912</v>
      </c>
      <c r="E756" s="307">
        <f t="shared" ca="1" si="328"/>
        <v>-0.57265033850378444</v>
      </c>
      <c r="F756" s="304">
        <f t="shared" ca="1" si="329"/>
        <v>0.80367739973531049</v>
      </c>
      <c r="G756" s="306">
        <f t="shared" ca="1" si="330"/>
        <v>6.6894477624340096</v>
      </c>
      <c r="H756" s="307">
        <f t="shared" ca="1" si="331"/>
        <v>-110.56453141491583</v>
      </c>
      <c r="I756" s="304">
        <f t="shared" ca="1" si="332"/>
        <v>110.76671123747533</v>
      </c>
      <c r="J756" s="306">
        <f t="shared" ca="1" si="333"/>
        <v>902.33823115882751</v>
      </c>
      <c r="K756" s="307">
        <f t="shared" ca="1" si="334"/>
        <v>517.47164106104481</v>
      </c>
      <c r="L756" s="304">
        <f t="shared" ca="1" si="319"/>
        <v>1040.188051610502</v>
      </c>
      <c r="M756" s="306">
        <f t="shared" ca="1" si="335"/>
        <v>-1.5103673342655002</v>
      </c>
      <c r="N756" s="304">
        <f t="shared" ca="1" si="336"/>
        <v>-86.537673767838001</v>
      </c>
      <c r="P756" s="310">
        <f t="shared" ca="1" si="337"/>
        <v>23</v>
      </c>
      <c r="Q756" s="304">
        <f t="shared" ca="1" si="338"/>
        <v>0</v>
      </c>
      <c r="R756" s="306">
        <f t="shared" ca="1" si="339"/>
        <v>0</v>
      </c>
      <c r="S756" s="307">
        <f t="shared" ca="1" si="340"/>
        <v>4.9929999999999914</v>
      </c>
      <c r="T756" s="304">
        <f t="shared" ca="1" si="320"/>
        <v>48.981329999999922</v>
      </c>
      <c r="U756" s="311">
        <f t="shared" ca="1" si="321"/>
        <v>0</v>
      </c>
      <c r="V756" s="306">
        <f t="shared" ca="1" si="322"/>
        <v>1.1632084916319643</v>
      </c>
      <c r="W756" s="304">
        <f t="shared" ca="1" si="323"/>
        <v>46.303999584558881</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0.53722820685904615</v>
      </c>
      <c r="AH756" s="304">
        <f t="shared" ca="1" si="347"/>
        <v>-9.2545447063267829</v>
      </c>
    </row>
    <row r="757" spans="1:34" x14ac:dyDescent="0.2">
      <c r="A757" s="347">
        <f t="shared" ca="1" si="325"/>
        <v>0.1</v>
      </c>
      <c r="B757" s="304">
        <f t="shared" ca="1" si="326"/>
        <v>39.300000000000246</v>
      </c>
      <c r="D757" s="306">
        <f t="shared" ca="1" si="327"/>
        <v>-0.56006437018109034</v>
      </c>
      <c r="E757" s="307">
        <f t="shared" ca="1" si="328"/>
        <v>-0.55314400076412085</v>
      </c>
      <c r="F757" s="304">
        <f t="shared" ca="1" si="329"/>
        <v>0.78717239809820505</v>
      </c>
      <c r="G757" s="306">
        <f t="shared" ca="1" si="330"/>
        <v>6.6334413254159008</v>
      </c>
      <c r="H757" s="307">
        <f t="shared" ca="1" si="331"/>
        <v>-110.61984581499225</v>
      </c>
      <c r="I757" s="304">
        <f t="shared" ca="1" si="332"/>
        <v>110.81855815679246</v>
      </c>
      <c r="J757" s="306">
        <f t="shared" ca="1" si="333"/>
        <v>903.00437561321996</v>
      </c>
      <c r="K757" s="307">
        <f t="shared" ca="1" si="334"/>
        <v>506.41242219954938</v>
      </c>
      <c r="L757" s="304">
        <f t="shared" ca="1" si="319"/>
        <v>1035.311761613204</v>
      </c>
      <c r="M757" s="306">
        <f t="shared" ca="1" si="335"/>
        <v>-1.5109019448318315</v>
      </c>
      <c r="N757" s="304">
        <f t="shared" ca="1" si="336"/>
        <v>-86.568304696971893</v>
      </c>
      <c r="P757" s="310">
        <f t="shared" ca="1" si="337"/>
        <v>23</v>
      </c>
      <c r="Q757" s="304">
        <f t="shared" ca="1" si="338"/>
        <v>0</v>
      </c>
      <c r="R757" s="306">
        <f t="shared" ca="1" si="339"/>
        <v>0</v>
      </c>
      <c r="S757" s="307">
        <f t="shared" ca="1" si="340"/>
        <v>4.9929999999999914</v>
      </c>
      <c r="T757" s="304">
        <f t="shared" ca="1" si="320"/>
        <v>48.981329999999922</v>
      </c>
      <c r="U757" s="311">
        <f t="shared" ca="1" si="321"/>
        <v>0</v>
      </c>
      <c r="V757" s="306">
        <f t="shared" ca="1" si="322"/>
        <v>1.1644964653570637</v>
      </c>
      <c r="W757" s="304">
        <f t="shared" ca="1" si="323"/>
        <v>46.398675598116817</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0.51831082876915957</v>
      </c>
      <c r="AH757" s="304">
        <f t="shared" ca="1" si="347"/>
        <v>-9.2737832134105673</v>
      </c>
    </row>
    <row r="758" spans="1:34" x14ac:dyDescent="0.2">
      <c r="A758" s="347">
        <f t="shared" ca="1" si="325"/>
        <v>0.1</v>
      </c>
      <c r="B758" s="304">
        <f t="shared" ca="1" si="326"/>
        <v>39.400000000000247</v>
      </c>
      <c r="D758" s="306">
        <f t="shared" ca="1" si="327"/>
        <v>-0.55625050069730064</v>
      </c>
      <c r="E758" s="307">
        <f t="shared" ca="1" si="328"/>
        <v>-0.53391815905754925</v>
      </c>
      <c r="F758" s="304">
        <f t="shared" ca="1" si="329"/>
        <v>0.77102737960295553</v>
      </c>
      <c r="G758" s="306">
        <f t="shared" ca="1" si="330"/>
        <v>6.5778162753461711</v>
      </c>
      <c r="H758" s="307">
        <f t="shared" ca="1" si="331"/>
        <v>-110.673237630898</v>
      </c>
      <c r="I758" s="304">
        <f t="shared" ca="1" si="332"/>
        <v>110.8685401484904</v>
      </c>
      <c r="J758" s="306">
        <f t="shared" ca="1" si="333"/>
        <v>903.66493849325809</v>
      </c>
      <c r="K758" s="307">
        <f t="shared" ca="1" si="334"/>
        <v>495.34776802725486</v>
      </c>
      <c r="L758" s="304">
        <f t="shared" ca="1" si="319"/>
        <v>1030.5240086245478</v>
      </c>
      <c r="M758" s="306">
        <f t="shared" ca="1" si="335"/>
        <v>-1.5114315925375323</v>
      </c>
      <c r="N758" s="304">
        <f t="shared" ca="1" si="336"/>
        <v>-86.598651275137328</v>
      </c>
      <c r="P758" s="310">
        <f t="shared" ca="1" si="337"/>
        <v>23</v>
      </c>
      <c r="Q758" s="304">
        <f t="shared" ca="1" si="338"/>
        <v>0</v>
      </c>
      <c r="R758" s="306">
        <f t="shared" ca="1" si="339"/>
        <v>0</v>
      </c>
      <c r="S758" s="307">
        <f t="shared" ca="1" si="340"/>
        <v>4.9929999999999914</v>
      </c>
      <c r="T758" s="304">
        <f t="shared" ca="1" si="320"/>
        <v>48.981329999999922</v>
      </c>
      <c r="U758" s="311">
        <f t="shared" ca="1" si="321"/>
        <v>0</v>
      </c>
      <c r="V758" s="306">
        <f t="shared" ca="1" si="322"/>
        <v>1.1657864630840764</v>
      </c>
      <c r="W758" s="304">
        <f t="shared" ca="1" si="323"/>
        <v>46.491984579753478</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0.49966440905880027</v>
      </c>
      <c r="AH758" s="304">
        <f t="shared" ca="1" si="347"/>
        <v>-9.2927449625709784</v>
      </c>
    </row>
    <row r="759" spans="1:34" x14ac:dyDescent="0.2">
      <c r="A759" s="347">
        <f t="shared" ca="1" si="325"/>
        <v>0.1</v>
      </c>
      <c r="B759" s="304">
        <f t="shared" ca="1" si="326"/>
        <v>39.500000000000249</v>
      </c>
      <c r="D759" s="306">
        <f t="shared" ca="1" si="327"/>
        <v>-0.5524461216803821</v>
      </c>
      <c r="E759" s="307">
        <f t="shared" ca="1" si="328"/>
        <v>-0.51496980401247328</v>
      </c>
      <c r="F759" s="304">
        <f t="shared" ca="1" si="329"/>
        <v>0.75524209125573805</v>
      </c>
      <c r="G759" s="306">
        <f t="shared" ca="1" si="330"/>
        <v>6.522571663178133</v>
      </c>
      <c r="H759" s="307">
        <f t="shared" ca="1" si="331"/>
        <v>-110.72473461129925</v>
      </c>
      <c r="I759" s="304">
        <f t="shared" ca="1" si="332"/>
        <v>110.91668402834601</v>
      </c>
      <c r="J759" s="306">
        <f t="shared" ca="1" si="333"/>
        <v>904.31995789018436</v>
      </c>
      <c r="K759" s="307">
        <f t="shared" ca="1" si="334"/>
        <v>484.27786941514501</v>
      </c>
      <c r="L759" s="304">
        <f t="shared" ca="1" si="319"/>
        <v>1025.8263210913321</v>
      </c>
      <c r="M759" s="306">
        <f t="shared" ca="1" si="335"/>
        <v>-1.5119563342157714</v>
      </c>
      <c r="N759" s="304">
        <f t="shared" ca="1" si="336"/>
        <v>-86.628716758635036</v>
      </c>
      <c r="P759" s="310">
        <f t="shared" ca="1" si="337"/>
        <v>23</v>
      </c>
      <c r="Q759" s="304">
        <f t="shared" ca="1" si="338"/>
        <v>0</v>
      </c>
      <c r="R759" s="306">
        <f t="shared" ca="1" si="339"/>
        <v>0</v>
      </c>
      <c r="S759" s="307">
        <f t="shared" ca="1" si="340"/>
        <v>4.9929999999999914</v>
      </c>
      <c r="T759" s="304">
        <f t="shared" ca="1" si="320"/>
        <v>48.981329999999922</v>
      </c>
      <c r="U759" s="311">
        <f t="shared" ca="1" si="321"/>
        <v>0</v>
      </c>
      <c r="V759" s="306">
        <f t="shared" ca="1" si="322"/>
        <v>1.1670784668304746</v>
      </c>
      <c r="W759" s="304">
        <f t="shared" ca="1" si="323"/>
        <v>46.583941312236874</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0.48128609189136995</v>
      </c>
      <c r="AH759" s="304">
        <f t="shared" ca="1" si="347"/>
        <v>-9.3114329220415701</v>
      </c>
    </row>
    <row r="760" spans="1:34" x14ac:dyDescent="0.2">
      <c r="A760" s="347">
        <f t="shared" ca="1" si="325"/>
        <v>0.1</v>
      </c>
      <c r="B760" s="304">
        <f t="shared" ca="1" si="326"/>
        <v>39.60000000000025</v>
      </c>
      <c r="D760" s="306">
        <f t="shared" ca="1" si="327"/>
        <v>-0.54865159472962588</v>
      </c>
      <c r="E760" s="307">
        <f t="shared" ca="1" si="328"/>
        <v>-0.49629593394092986</v>
      </c>
      <c r="F760" s="304">
        <f t="shared" ca="1" si="329"/>
        <v>0.73981634643042427</v>
      </c>
      <c r="G760" s="306">
        <f t="shared" ca="1" si="330"/>
        <v>6.4677065037051706</v>
      </c>
      <c r="H760" s="307">
        <f t="shared" ca="1" si="331"/>
        <v>-110.77436420469334</v>
      </c>
      <c r="I760" s="304">
        <f t="shared" ca="1" si="332"/>
        <v>110.96301632693712</v>
      </c>
      <c r="J760" s="306">
        <f t="shared" ca="1" si="333"/>
        <v>904.9694717985285</v>
      </c>
      <c r="K760" s="307">
        <f t="shared" ca="1" si="334"/>
        <v>473.20291447434539</v>
      </c>
      <c r="L760" s="304">
        <f t="shared" ca="1" si="319"/>
        <v>1021.2202226524513</v>
      </c>
      <c r="M760" s="306">
        <f t="shared" ca="1" si="335"/>
        <v>-1.5124762257615179</v>
      </c>
      <c r="N760" s="304">
        <f t="shared" ca="1" si="336"/>
        <v>-86.658504350010844</v>
      </c>
      <c r="P760" s="310">
        <f t="shared" ca="1" si="337"/>
        <v>23</v>
      </c>
      <c r="Q760" s="304">
        <f t="shared" ca="1" si="338"/>
        <v>0</v>
      </c>
      <c r="R760" s="306">
        <f t="shared" ca="1" si="339"/>
        <v>0</v>
      </c>
      <c r="S760" s="307">
        <f t="shared" ca="1" si="340"/>
        <v>4.9929999999999914</v>
      </c>
      <c r="T760" s="304">
        <f t="shared" ca="1" si="320"/>
        <v>48.981329999999922</v>
      </c>
      <c r="U760" s="311">
        <f t="shared" ca="1" si="321"/>
        <v>0</v>
      </c>
      <c r="V760" s="306">
        <f t="shared" ca="1" si="322"/>
        <v>1.1683724588524202</v>
      </c>
      <c r="W760" s="304">
        <f t="shared" ca="1" si="323"/>
        <v>46.674560536720165</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0.46317302648902192</v>
      </c>
      <c r="AH760" s="304">
        <f t="shared" ca="1" si="347"/>
        <v>-9.3298500525209196</v>
      </c>
    </row>
    <row r="761" spans="1:34" x14ac:dyDescent="0.2">
      <c r="A761" s="347">
        <f t="shared" ca="1" si="325"/>
        <v>0.1</v>
      </c>
      <c r="B761" s="304">
        <f t="shared" ca="1" si="326"/>
        <v>39.700000000000252</v>
      </c>
      <c r="D761" s="306">
        <f t="shared" ca="1" si="327"/>
        <v>-0.54486727120252798</v>
      </c>
      <c r="E761" s="307">
        <f t="shared" ca="1" si="328"/>
        <v>-0.47789355564769309</v>
      </c>
      <c r="F761" s="304">
        <f t="shared" ca="1" si="329"/>
        <v>0.72475002156418311</v>
      </c>
      <c r="G761" s="306">
        <f t="shared" ca="1" si="330"/>
        <v>6.4132197765849179</v>
      </c>
      <c r="H761" s="307">
        <f t="shared" ca="1" si="331"/>
        <v>-110.82215356025812</v>
      </c>
      <c r="I761" s="304">
        <f t="shared" ca="1" si="332"/>
        <v>111.00756329023807</v>
      </c>
      <c r="J761" s="306">
        <f t="shared" ca="1" si="333"/>
        <v>905.61351811254303</v>
      </c>
      <c r="K761" s="307">
        <f t="shared" ca="1" si="334"/>
        <v>462.12308858609782</v>
      </c>
      <c r="L761" s="304">
        <f t="shared" ca="1" si="319"/>
        <v>1016.7072308155045</v>
      </c>
      <c r="M761" s="306">
        <f t="shared" ca="1" si="335"/>
        <v>-1.5129913221526998</v>
      </c>
      <c r="N761" s="304">
        <f t="shared" ca="1" si="336"/>
        <v>-86.688017199267989</v>
      </c>
      <c r="P761" s="310">
        <f t="shared" ca="1" si="337"/>
        <v>23</v>
      </c>
      <c r="Q761" s="304">
        <f t="shared" ca="1" si="338"/>
        <v>0</v>
      </c>
      <c r="R761" s="306">
        <f t="shared" ca="1" si="339"/>
        <v>0</v>
      </c>
      <c r="S761" s="307">
        <f t="shared" ca="1" si="340"/>
        <v>4.9929999999999914</v>
      </c>
      <c r="T761" s="304">
        <f t="shared" ca="1" si="320"/>
        <v>48.981329999999922</v>
      </c>
      <c r="U761" s="311">
        <f t="shared" ca="1" si="321"/>
        <v>0</v>
      </c>
      <c r="V761" s="306">
        <f t="shared" ca="1" si="322"/>
        <v>1.1696684216425477</v>
      </c>
      <c r="W761" s="304">
        <f t="shared" ca="1" si="323"/>
        <v>46.763856948896645</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0.44532236799681435</v>
      </c>
      <c r="AH761" s="304">
        <f t="shared" ca="1" si="347"/>
        <v>-9.3479993063729712</v>
      </c>
    </row>
    <row r="762" spans="1:34" x14ac:dyDescent="0.2">
      <c r="A762" s="347">
        <f t="shared" ca="1" si="325"/>
        <v>0.1</v>
      </c>
      <c r="B762" s="304">
        <f t="shared" ca="1" si="326"/>
        <v>39.800000000000253</v>
      </c>
      <c r="D762" s="306">
        <f t="shared" ca="1" si="327"/>
        <v>-0.5410934923767845</v>
      </c>
      <c r="E762" s="307">
        <f t="shared" ca="1" si="328"/>
        <v>-0.4597596852094501</v>
      </c>
      <c r="F762" s="304">
        <f t="shared" ca="1" si="329"/>
        <v>0.71004305195980755</v>
      </c>
      <c r="G762" s="306">
        <f t="shared" ca="1" si="330"/>
        <v>6.3591104273472396</v>
      </c>
      <c r="H762" s="307">
        <f t="shared" ca="1" si="331"/>
        <v>-110.86812952877906</v>
      </c>
      <c r="I762" s="304">
        <f t="shared" ca="1" si="332"/>
        <v>111.05035088029811</v>
      </c>
      <c r="J762" s="306">
        <f t="shared" ca="1" si="333"/>
        <v>906.25213462273962</v>
      </c>
      <c r="K762" s="307">
        <f t="shared" ca="1" si="334"/>
        <v>451.03857443164594</v>
      </c>
      <c r="L762" s="304">
        <f t="shared" ca="1" si="319"/>
        <v>1012.2888555810557</v>
      </c>
      <c r="M762" s="306">
        <f t="shared" ca="1" si="335"/>
        <v>-1.5135016774707943</v>
      </c>
      <c r="N762" s="304">
        <f t="shared" ca="1" si="336"/>
        <v>-86.717258405046863</v>
      </c>
      <c r="P762" s="310">
        <f t="shared" ca="1" si="337"/>
        <v>23</v>
      </c>
      <c r="Q762" s="304">
        <f t="shared" ca="1" si="338"/>
        <v>0</v>
      </c>
      <c r="R762" s="306">
        <f t="shared" ca="1" si="339"/>
        <v>0</v>
      </c>
      <c r="S762" s="307">
        <f t="shared" ca="1" si="340"/>
        <v>4.9929999999999914</v>
      </c>
      <c r="T762" s="304">
        <f t="shared" ca="1" si="320"/>
        <v>48.981329999999922</v>
      </c>
      <c r="U762" s="311">
        <f t="shared" ca="1" si="321"/>
        <v>0</v>
      </c>
      <c r="V762" s="306">
        <f t="shared" ca="1" si="322"/>
        <v>1.1709663379277433</v>
      </c>
      <c r="W762" s="304">
        <f t="shared" ca="1" si="323"/>
        <v>46.851845195298573</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0.4277312783153473</v>
      </c>
      <c r="AH762" s="304">
        <f t="shared" ca="1" si="347"/>
        <v>-9.3658836268569452</v>
      </c>
    </row>
    <row r="763" spans="1:34" x14ac:dyDescent="0.2">
      <c r="A763" s="347">
        <f t="shared" ca="1" si="325"/>
        <v>0.1</v>
      </c>
      <c r="B763" s="304">
        <f t="shared" ca="1" si="326"/>
        <v>39.900000000000254</v>
      </c>
      <c r="D763" s="306">
        <f t="shared" ca="1" si="327"/>
        <v>-0.53733058961170699</v>
      </c>
      <c r="E763" s="307">
        <f t="shared" ca="1" si="328"/>
        <v>-0.44189134872479663</v>
      </c>
      <c r="F763" s="304">
        <f t="shared" ca="1" si="329"/>
        <v>0.69569542661302908</v>
      </c>
      <c r="G763" s="306">
        <f t="shared" ca="1" si="330"/>
        <v>6.3053773683860692</v>
      </c>
      <c r="H763" s="307">
        <f t="shared" ca="1" si="331"/>
        <v>-110.91231866365155</v>
      </c>
      <c r="I763" s="304">
        <f t="shared" ca="1" si="332"/>
        <v>111.0914047760003</v>
      </c>
      <c r="J763" s="306">
        <f t="shared" ca="1" si="333"/>
        <v>906.88535901252624</v>
      </c>
      <c r="K763" s="307">
        <f t="shared" ca="1" si="334"/>
        <v>439.94955202202442</v>
      </c>
      <c r="L763" s="304">
        <f t="shared" ca="1" si="319"/>
        <v>1007.9665980158562</v>
      </c>
      <c r="M763" s="306">
        <f t="shared" ca="1" si="335"/>
        <v>-1.514007344920862</v>
      </c>
      <c r="N763" s="304">
        <f t="shared" ca="1" si="336"/>
        <v>-86.746231015772892</v>
      </c>
      <c r="P763" s="310">
        <f t="shared" ca="1" si="337"/>
        <v>23</v>
      </c>
      <c r="Q763" s="304">
        <f t="shared" ca="1" si="338"/>
        <v>0</v>
      </c>
      <c r="R763" s="306">
        <f t="shared" ca="1" si="339"/>
        <v>0</v>
      </c>
      <c r="S763" s="307">
        <f t="shared" ca="1" si="340"/>
        <v>4.9929999999999914</v>
      </c>
      <c r="T763" s="304">
        <f t="shared" ca="1" si="320"/>
        <v>48.981329999999922</v>
      </c>
      <c r="U763" s="311">
        <f t="shared" ca="1" si="321"/>
        <v>0</v>
      </c>
      <c r="V763" s="306">
        <f t="shared" ca="1" si="322"/>
        <v>1.1722661906669269</v>
      </c>
      <c r="W763" s="304">
        <f t="shared" ca="1" si="323"/>
        <v>46.938539869737561</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0.41039692690264928</v>
      </c>
      <c r="AH763" s="304">
        <f t="shared" ca="1" si="347"/>
        <v>-9.3835059473860714</v>
      </c>
    </row>
    <row r="764" spans="1:34" x14ac:dyDescent="0.2">
      <c r="A764" s="347">
        <f t="shared" ca="1" si="325"/>
        <v>0.1</v>
      </c>
      <c r="B764" s="304">
        <f t="shared" ca="1" si="326"/>
        <v>40.000000000000256</v>
      </c>
      <c r="D764" s="306">
        <f t="shared" ca="1" si="327"/>
        <v>-0.53357888450904178</v>
      </c>
      <c r="E764" s="307">
        <f t="shared" ca="1" si="328"/>
        <v>-0.4242855830355392</v>
      </c>
      <c r="F764" s="304">
        <f t="shared" ca="1" si="329"/>
        <v>0.68170718198191282</v>
      </c>
      <c r="G764" s="306">
        <f t="shared" ca="1" si="330"/>
        <v>6.2520194799351652</v>
      </c>
      <c r="H764" s="307">
        <f t="shared" ca="1" si="331"/>
        <v>-110.9547472219551</v>
      </c>
      <c r="I764" s="304">
        <f t="shared" ca="1" si="332"/>
        <v>111.13075037389716</v>
      </c>
      <c r="J764" s="306">
        <f t="shared" ca="1" si="333"/>
        <v>907.51322885494233</v>
      </c>
      <c r="K764" s="307">
        <f t="shared" ca="1" si="334"/>
        <v>428.85619872774407</v>
      </c>
      <c r="L764" s="304">
        <f t="shared" ca="1" si="319"/>
        <v>1003.7419487766431</v>
      </c>
      <c r="M764" s="306">
        <f t="shared" ca="1" si="335"/>
        <v>-1.5145083768510488</v>
      </c>
      <c r="N764" s="304">
        <f t="shared" ca="1" si="336"/>
        <v>-86.774938030773882</v>
      </c>
      <c r="P764" s="310">
        <f t="shared" ca="1" si="337"/>
        <v>23</v>
      </c>
      <c r="Q764" s="304">
        <f t="shared" ca="1" si="338"/>
        <v>0</v>
      </c>
      <c r="R764" s="306">
        <f t="shared" ca="1" si="339"/>
        <v>0</v>
      </c>
      <c r="S764" s="307">
        <f t="shared" ca="1" si="340"/>
        <v>4.9929999999999914</v>
      </c>
      <c r="T764" s="304">
        <f t="shared" ca="1" si="320"/>
        <v>48.981329999999922</v>
      </c>
      <c r="U764" s="311">
        <f t="shared" ca="1" si="321"/>
        <v>0</v>
      </c>
      <c r="V764" s="306">
        <f t="shared" ca="1" si="322"/>
        <v>1.1735679630488367</v>
      </c>
      <c r="W764" s="304">
        <f t="shared" ca="1" si="323"/>
        <v>47.02395550988318</v>
      </c>
      <c r="Y764" s="314" t="str">
        <f t="shared" ca="1" si="341"/>
        <v/>
      </c>
      <c r="Z764" s="315" t="str">
        <f t="shared" ca="1" si="342"/>
        <v/>
      </c>
      <c r="AA764" s="316" t="str">
        <f t="shared" ca="1" si="343"/>
        <v/>
      </c>
      <c r="AC764" s="310">
        <f t="shared" ca="1" si="344"/>
        <v>40.000000000000256</v>
      </c>
      <c r="AD764" s="323">
        <f t="shared" ca="1" si="345"/>
        <v>907.51322885494233</v>
      </c>
      <c r="AE764" s="324" t="e">
        <f t="shared" ca="1" si="324"/>
        <v>#N/A</v>
      </c>
      <c r="AG764" s="306">
        <f t="shared" ca="1" si="346"/>
        <v>0.39331649154587467</v>
      </c>
      <c r="AH764" s="304">
        <f t="shared" ca="1" si="347"/>
        <v>-9.4008691908146691</v>
      </c>
    </row>
    <row r="765" spans="1:34" x14ac:dyDescent="0.2">
      <c r="A765" s="347">
        <f t="shared" ca="1" si="325"/>
        <v>0.1</v>
      </c>
      <c r="B765" s="304">
        <f t="shared" ca="1" si="326"/>
        <v>40.100000000000257</v>
      </c>
      <c r="D765" s="306">
        <f t="shared" ca="1" si="327"/>
        <v>-0.52983868907305276</v>
      </c>
      <c r="E765" s="307">
        <f t="shared" ca="1" si="328"/>
        <v>-0.40693943641995567</v>
      </c>
      <c r="F765" s="304">
        <f t="shared" ca="1" si="329"/>
        <v>0.6680783946158132</v>
      </c>
      <c r="G765" s="306">
        <f t="shared" ca="1" si="330"/>
        <v>6.1990356110278597</v>
      </c>
      <c r="H765" s="307">
        <f t="shared" ca="1" si="331"/>
        <v>-110.9954411655971</v>
      </c>
      <c r="I765" s="304">
        <f t="shared" ca="1" si="332"/>
        <v>111.16841278912064</v>
      </c>
      <c r="J765" s="306">
        <f t="shared" ca="1" si="333"/>
        <v>908.13578160949044</v>
      </c>
      <c r="K765" s="307">
        <f t="shared" ca="1" si="334"/>
        <v>417.75868930836646</v>
      </c>
      <c r="L765" s="304">
        <f t="shared" ca="1" si="319"/>
        <v>999.61638658643665</v>
      </c>
      <c r="M765" s="306">
        <f t="shared" ca="1" si="335"/>
        <v>-1.5150048247715666</v>
      </c>
      <c r="N765" s="304">
        <f t="shared" ca="1" si="336"/>
        <v>-86.8033824013676</v>
      </c>
      <c r="P765" s="310">
        <f t="shared" ca="1" si="337"/>
        <v>23</v>
      </c>
      <c r="Q765" s="304">
        <f t="shared" ca="1" si="338"/>
        <v>0</v>
      </c>
      <c r="R765" s="306">
        <f t="shared" ca="1" si="339"/>
        <v>0</v>
      </c>
      <c r="S765" s="307">
        <f t="shared" ca="1" si="340"/>
        <v>4.9929999999999914</v>
      </c>
      <c r="T765" s="304">
        <f t="shared" ca="1" si="320"/>
        <v>48.981329999999922</v>
      </c>
      <c r="U765" s="311">
        <f t="shared" ca="1" si="321"/>
        <v>0</v>
      </c>
      <c r="V765" s="306">
        <f t="shared" ca="1" si="322"/>
        <v>1.1748716384898086</v>
      </c>
      <c r="W765" s="304">
        <f t="shared" ca="1" si="323"/>
        <v>47.108106593976785</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0.37648715910354014</v>
      </c>
      <c r="AH765" s="304">
        <f t="shared" ca="1" si="347"/>
        <v>-9.4179762687529056</v>
      </c>
    </row>
    <row r="766" spans="1:34" x14ac:dyDescent="0.2">
      <c r="A766" s="347">
        <f t="shared" ca="1" si="325"/>
        <v>0.1</v>
      </c>
      <c r="B766" s="304">
        <f t="shared" ca="1" si="326"/>
        <v>40.200000000000259</v>
      </c>
      <c r="D766" s="306">
        <f t="shared" ca="1" si="327"/>
        <v>-0.52611030586984597</v>
      </c>
      <c r="E766" s="307">
        <f t="shared" ca="1" si="328"/>
        <v>-0.38984996925865545</v>
      </c>
      <c r="F766" s="304">
        <f t="shared" ca="1" si="329"/>
        <v>0.65480917256360838</v>
      </c>
      <c r="G766" s="306">
        <f t="shared" ca="1" si="330"/>
        <v>6.1464245804408755</v>
      </c>
      <c r="H766" s="307">
        <f t="shared" ca="1" si="331"/>
        <v>-111.03442616252296</v>
      </c>
      <c r="I766" s="304">
        <f t="shared" ca="1" si="332"/>
        <v>111.20441685636328</v>
      </c>
      <c r="J766" s="306">
        <f t="shared" ca="1" si="333"/>
        <v>908.75305461906385</v>
      </c>
      <c r="K766" s="307">
        <f t="shared" ca="1" si="334"/>
        <v>406.65719594196048</v>
      </c>
      <c r="L766" s="304">
        <f t="shared" ca="1" si="319"/>
        <v>995.59137666557626</v>
      </c>
      <c r="M766" s="306">
        <f t="shared" ca="1" si="335"/>
        <v>-1.51549673937317</v>
      </c>
      <c r="N766" s="304">
        <f t="shared" ca="1" si="336"/>
        <v>-86.831567031920329</v>
      </c>
      <c r="P766" s="310">
        <f t="shared" ca="1" si="337"/>
        <v>23</v>
      </c>
      <c r="Q766" s="304">
        <f t="shared" ca="1" si="338"/>
        <v>0</v>
      </c>
      <c r="R766" s="306">
        <f t="shared" ca="1" si="339"/>
        <v>0</v>
      </c>
      <c r="S766" s="307">
        <f t="shared" ca="1" si="340"/>
        <v>4.9929999999999914</v>
      </c>
      <c r="T766" s="304">
        <f t="shared" ca="1" si="320"/>
        <v>48.981329999999922</v>
      </c>
      <c r="U766" s="311">
        <f t="shared" ca="1" si="321"/>
        <v>0</v>
      </c>
      <c r="V766" s="306">
        <f t="shared" ca="1" si="322"/>
        <v>1.1761772006315701</v>
      </c>
      <c r="W766" s="304">
        <f t="shared" ca="1" si="323"/>
        <v>47.191007537678026</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0.3599061262189629</v>
      </c>
      <c r="AH766" s="304">
        <f t="shared" ca="1" si="347"/>
        <v>-9.4348300809086449</v>
      </c>
    </row>
    <row r="767" spans="1:34" x14ac:dyDescent="0.2">
      <c r="A767" s="347">
        <f t="shared" ca="1" si="325"/>
        <v>0.1</v>
      </c>
      <c r="B767" s="304">
        <f t="shared" ca="1" si="326"/>
        <v>40.30000000000026</v>
      </c>
      <c r="D767" s="306">
        <f t="shared" ca="1" si="327"/>
        <v>-0.5223940281858519</v>
      </c>
      <c r="E767" s="307">
        <f t="shared" ca="1" si="328"/>
        <v>-0.3730142546735209</v>
      </c>
      <c r="F767" s="304">
        <f t="shared" ca="1" si="329"/>
        <v>0.64189964548508904</v>
      </c>
      <c r="G767" s="306">
        <f t="shared" ca="1" si="330"/>
        <v>6.0941851776222906</v>
      </c>
      <c r="H767" s="307">
        <f t="shared" ca="1" si="331"/>
        <v>-111.07172758799031</v>
      </c>
      <c r="I767" s="304">
        <f t="shared" ca="1" si="332"/>
        <v>111.23878713092785</v>
      </c>
      <c r="J767" s="306">
        <f t="shared" ca="1" si="333"/>
        <v>909.36508510696706</v>
      </c>
      <c r="K767" s="307">
        <f t="shared" ca="1" si="334"/>
        <v>395.5518882544348</v>
      </c>
      <c r="L767" s="304">
        <f t="shared" ca="1" si="319"/>
        <v>991.66836912006545</v>
      </c>
      <c r="M767" s="306">
        <f t="shared" ca="1" si="335"/>
        <v>-1.5159841705451451</v>
      </c>
      <c r="N767" s="304">
        <f t="shared" ca="1" si="336"/>
        <v>-86.859494780877625</v>
      </c>
      <c r="P767" s="310">
        <f t="shared" ca="1" si="337"/>
        <v>23</v>
      </c>
      <c r="Q767" s="304">
        <f t="shared" ca="1" si="338"/>
        <v>0</v>
      </c>
      <c r="R767" s="306">
        <f t="shared" ca="1" si="339"/>
        <v>0</v>
      </c>
      <c r="S767" s="307">
        <f t="shared" ca="1" si="340"/>
        <v>4.9929999999999914</v>
      </c>
      <c r="T767" s="304">
        <f t="shared" ca="1" si="320"/>
        <v>48.981329999999922</v>
      </c>
      <c r="U767" s="311">
        <f t="shared" ca="1" si="321"/>
        <v>0</v>
      </c>
      <c r="V767" s="306">
        <f t="shared" ca="1" si="322"/>
        <v>1.1774846333390243</v>
      </c>
      <c r="W767" s="304">
        <f t="shared" ca="1" si="323"/>
        <v>47.272672691040434</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0.34357060000546369</v>
      </c>
      <c r="AH767" s="304">
        <f t="shared" ca="1" si="347"/>
        <v>-9.451433514455859</v>
      </c>
    </row>
    <row r="768" spans="1:34" x14ac:dyDescent="0.2">
      <c r="A768" s="347">
        <f t="shared" ca="1" si="325"/>
        <v>0.1</v>
      </c>
      <c r="B768" s="304">
        <f t="shared" ca="1" si="326"/>
        <v>40.400000000000261</v>
      </c>
      <c r="D768" s="306">
        <f t="shared" ca="1" si="327"/>
        <v>-0.51869014018538628</v>
      </c>
      <c r="E768" s="307">
        <f t="shared" ca="1" si="328"/>
        <v>-0.35642937914047934</v>
      </c>
      <c r="F768" s="304">
        <f t="shared" ca="1" si="329"/>
        <v>0.62934995339636224</v>
      </c>
      <c r="G768" s="306">
        <f t="shared" ca="1" si="330"/>
        <v>6.0423161636037523</v>
      </c>
      <c r="H768" s="307">
        <f t="shared" ca="1" si="331"/>
        <v>-111.10737052590436</v>
      </c>
      <c r="I768" s="304">
        <f t="shared" ca="1" si="332"/>
        <v>111.27154788984265</v>
      </c>
      <c r="J768" s="306">
        <f t="shared" ca="1" si="333"/>
        <v>909.97191017402838</v>
      </c>
      <c r="K768" s="307">
        <f t="shared" ca="1" si="334"/>
        <v>384.44293334874004</v>
      </c>
      <c r="L768" s="304">
        <f t="shared" ca="1" si="319"/>
        <v>987.84879729012869</v>
      </c>
      <c r="M768" s="306">
        <f t="shared" ca="1" si="335"/>
        <v>-1.5164671673928236</v>
      </c>
      <c r="N768" s="304">
        <f t="shared" ca="1" si="336"/>
        <v>-86.887168461767729</v>
      </c>
      <c r="P768" s="310">
        <f t="shared" ca="1" si="337"/>
        <v>23</v>
      </c>
      <c r="Q768" s="304">
        <f t="shared" ca="1" si="338"/>
        <v>0</v>
      </c>
      <c r="R768" s="306">
        <f t="shared" ca="1" si="339"/>
        <v>0</v>
      </c>
      <c r="S768" s="307">
        <f t="shared" ca="1" si="340"/>
        <v>4.9929999999999914</v>
      </c>
      <c r="T768" s="304">
        <f t="shared" ca="1" si="320"/>
        <v>48.981329999999922</v>
      </c>
      <c r="U768" s="311">
        <f t="shared" ca="1" si="321"/>
        <v>0</v>
      </c>
      <c r="V768" s="306">
        <f t="shared" ca="1" si="322"/>
        <v>1.1787939206980489</v>
      </c>
      <c r="W768" s="304">
        <f t="shared" ca="1" si="323"/>
        <v>47.353116335614054</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0.32747779870411087</v>
      </c>
      <c r="AH768" s="304">
        <f t="shared" ca="1" si="347"/>
        <v>-9.4677894434289041</v>
      </c>
    </row>
    <row r="769" spans="1:34" x14ac:dyDescent="0.2">
      <c r="A769" s="347">
        <f t="shared" ca="1" si="325"/>
        <v>0.1</v>
      </c>
      <c r="B769" s="304">
        <f t="shared" ca="1" si="326"/>
        <v>40.500000000000263</v>
      </c>
      <c r="D769" s="306">
        <f t="shared" ca="1" si="327"/>
        <v>-0.51499891706726331</v>
      </c>
      <c r="E769" s="307">
        <f t="shared" ca="1" si="328"/>
        <v>-0.34009244307653397</v>
      </c>
      <c r="F769" s="304">
        <f t="shared" ca="1" si="329"/>
        <v>0.61716023398969855</v>
      </c>
      <c r="G769" s="306">
        <f t="shared" ca="1" si="330"/>
        <v>5.9908162718970264</v>
      </c>
      <c r="H769" s="307">
        <f t="shared" ca="1" si="331"/>
        <v>-111.14137977021201</v>
      </c>
      <c r="I769" s="304">
        <f t="shared" ca="1" si="332"/>
        <v>111.30272313303982</v>
      </c>
      <c r="J769" s="306">
        <f t="shared" ca="1" si="333"/>
        <v>910.57356679580346</v>
      </c>
      <c r="K769" s="307">
        <f t="shared" ca="1" si="334"/>
        <v>373.33049583393421</v>
      </c>
      <c r="L769" s="304">
        <f t="shared" ca="1" si="319"/>
        <v>984.13407606222165</v>
      </c>
      <c r="M769" s="306">
        <f t="shared" ca="1" si="335"/>
        <v>-1.5169457782546361</v>
      </c>
      <c r="N769" s="304">
        <f t="shared" ca="1" si="336"/>
        <v>-86.91459084417869</v>
      </c>
      <c r="P769" s="310">
        <f t="shared" ca="1" si="337"/>
        <v>23</v>
      </c>
      <c r="Q769" s="304">
        <f t="shared" ca="1" si="338"/>
        <v>0</v>
      </c>
      <c r="R769" s="306">
        <f t="shared" ca="1" si="339"/>
        <v>0</v>
      </c>
      <c r="S769" s="307">
        <f t="shared" ca="1" si="340"/>
        <v>4.9929999999999914</v>
      </c>
      <c r="T769" s="304">
        <f t="shared" ca="1" si="320"/>
        <v>48.981329999999922</v>
      </c>
      <c r="U769" s="311">
        <f t="shared" ca="1" si="321"/>
        <v>0</v>
      </c>
      <c r="V769" s="306">
        <f t="shared" ca="1" si="322"/>
        <v>1.1801050470132914</v>
      </c>
      <c r="W769" s="304">
        <f t="shared" ca="1" si="323"/>
        <v>47.432352681671283</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0.31162495231447984</v>
      </c>
      <c r="AH769" s="304">
        <f t="shared" ca="1" si="347"/>
        <v>-9.4839007281422258</v>
      </c>
    </row>
    <row r="770" spans="1:34" x14ac:dyDescent="0.2">
      <c r="A770" s="347">
        <f t="shared" ca="1" si="325"/>
        <v>0.1</v>
      </c>
      <c r="B770" s="304">
        <f t="shared" ca="1" si="326"/>
        <v>40.600000000000264</v>
      </c>
      <c r="D770" s="306">
        <f t="shared" ca="1" si="327"/>
        <v>-0.51132062522037935</v>
      </c>
      <c r="E770" s="307">
        <f t="shared" ca="1" si="328"/>
        <v>-0.32400056140176581</v>
      </c>
      <c r="F770" s="304">
        <f t="shared" ca="1" si="329"/>
        <v>0.60533060848136455</v>
      </c>
      <c r="G770" s="306">
        <f t="shared" ca="1" si="330"/>
        <v>5.9396842093749882</v>
      </c>
      <c r="H770" s="307">
        <f t="shared" ca="1" si="331"/>
        <v>-111.17377982635219</v>
      </c>
      <c r="I770" s="304">
        <f t="shared" ca="1" si="332"/>
        <v>111.33233658459402</v>
      </c>
      <c r="J770" s="306">
        <f t="shared" ca="1" si="333"/>
        <v>911.17009181986703</v>
      </c>
      <c r="K770" s="307">
        <f t="shared" ca="1" si="334"/>
        <v>362.21473785410598</v>
      </c>
      <c r="L770" s="304">
        <f t="shared" ca="1" si="319"/>
        <v>980.52560014807545</v>
      </c>
      <c r="M770" s="306">
        <f t="shared" ca="1" si="335"/>
        <v>-1.517420050718721</v>
      </c>
      <c r="N770" s="304">
        <f t="shared" ca="1" si="336"/>
        <v>-86.941764654710028</v>
      </c>
      <c r="P770" s="310">
        <f t="shared" ca="1" si="337"/>
        <v>23</v>
      </c>
      <c r="Q770" s="304">
        <f t="shared" ca="1" si="338"/>
        <v>0</v>
      </c>
      <c r="R770" s="306">
        <f t="shared" ca="1" si="339"/>
        <v>0</v>
      </c>
      <c r="S770" s="307">
        <f t="shared" ca="1" si="340"/>
        <v>4.9929999999999914</v>
      </c>
      <c r="T770" s="304">
        <f t="shared" ca="1" si="320"/>
        <v>48.981329999999922</v>
      </c>
      <c r="U770" s="311">
        <f t="shared" ca="1" si="321"/>
        <v>0</v>
      </c>
      <c r="V770" s="306">
        <f t="shared" ca="1" si="322"/>
        <v>1.1814179968059761</v>
      </c>
      <c r="W770" s="304">
        <f t="shared" ca="1" si="323"/>
        <v>47.510395865553996</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0.29600930319923791</v>
      </c>
      <c r="AH770" s="304">
        <f t="shared" ca="1" si="347"/>
        <v>-9.4997702146347613</v>
      </c>
    </row>
    <row r="771" spans="1:34" x14ac:dyDescent="0.2">
      <c r="A771" s="347">
        <f t="shared" ca="1" si="325"/>
        <v>0.1</v>
      </c>
      <c r="B771" s="304">
        <f t="shared" ca="1" si="326"/>
        <v>40.700000000000266</v>
      </c>
      <c r="D771" s="306">
        <f t="shared" ca="1" si="327"/>
        <v>-0.50765552237820633</v>
      </c>
      <c r="E771" s="307">
        <f t="shared" ca="1" si="328"/>
        <v>-0.30815086407679892</v>
      </c>
      <c r="F771" s="304">
        <f t="shared" ca="1" si="329"/>
        <v>0.5938611659574714</v>
      </c>
      <c r="G771" s="306">
        <f t="shared" ca="1" si="330"/>
        <v>5.8889186571371672</v>
      </c>
      <c r="H771" s="307">
        <f t="shared" ca="1" si="331"/>
        <v>-111.20459491275987</v>
      </c>
      <c r="I771" s="304">
        <f t="shared" ca="1" si="332"/>
        <v>111.36041169401898</v>
      </c>
      <c r="J771" s="306">
        <f t="shared" ca="1" si="333"/>
        <v>911.76152196319265</v>
      </c>
      <c r="K771" s="307">
        <f t="shared" ca="1" si="334"/>
        <v>351.09581911715037</v>
      </c>
      <c r="L771" s="304">
        <f t="shared" ca="1" si="319"/>
        <v>977.0247423346965</v>
      </c>
      <c r="M771" s="306">
        <f t="shared" ca="1" si="335"/>
        <v>-1.5178900316390982</v>
      </c>
      <c r="N771" s="304">
        <f t="shared" ca="1" si="336"/>
        <v>-86.968692577899319</v>
      </c>
      <c r="P771" s="310">
        <f t="shared" ca="1" si="337"/>
        <v>23</v>
      </c>
      <c r="Q771" s="304">
        <f t="shared" ca="1" si="338"/>
        <v>0</v>
      </c>
      <c r="R771" s="306">
        <f t="shared" ca="1" si="339"/>
        <v>0</v>
      </c>
      <c r="S771" s="307">
        <f t="shared" ca="1" si="340"/>
        <v>4.9929999999999914</v>
      </c>
      <c r="T771" s="304">
        <f t="shared" ca="1" si="320"/>
        <v>48.981329999999922</v>
      </c>
      <c r="U771" s="311">
        <f t="shared" ca="1" si="321"/>
        <v>0</v>
      </c>
      <c r="V771" s="306">
        <f t="shared" ca="1" si="322"/>
        <v>1.1827327548117093</v>
      </c>
      <c r="W771" s="304">
        <f t="shared" ca="1" si="323"/>
        <v>47.587259947138307</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0.28062810666300031</v>
      </c>
      <c r="AH771" s="304">
        <f t="shared" ca="1" si="347"/>
        <v>-9.5154007341386091</v>
      </c>
    </row>
    <row r="772" spans="1:34" x14ac:dyDescent="0.2">
      <c r="A772" s="347">
        <f t="shared" ca="1" si="325"/>
        <v>0.1</v>
      </c>
      <c r="B772" s="304">
        <f t="shared" ca="1" si="326"/>
        <v>40.800000000000267</v>
      </c>
      <c r="D772" s="306">
        <f t="shared" ca="1" si="327"/>
        <v>-0.50400385777217849</v>
      </c>
      <c r="E772" s="307">
        <f t="shared" ca="1" si="328"/>
        <v>-0.29254049661637005</v>
      </c>
      <c r="F772" s="304">
        <f t="shared" ca="1" si="329"/>
        <v>0.5827519462084968</v>
      </c>
      <c r="G772" s="306">
        <f t="shared" ca="1" si="330"/>
        <v>5.8385182713599493</v>
      </c>
      <c r="H772" s="307">
        <f t="shared" ca="1" si="331"/>
        <v>-111.2338489624215</v>
      </c>
      <c r="I772" s="304">
        <f t="shared" ca="1" si="332"/>
        <v>111.3869716376193</v>
      </c>
      <c r="J772" s="306">
        <f t="shared" ca="1" si="333"/>
        <v>912.34789380961752</v>
      </c>
      <c r="K772" s="307">
        <f t="shared" ca="1" si="334"/>
        <v>339.97389692339129</v>
      </c>
      <c r="L772" s="304">
        <f t="shared" ref="L772:L835" ca="1" si="348">SQRT(pos_x^2+pos_z^2)</f>
        <v>973.63285170957624</v>
      </c>
      <c r="M772" s="306">
        <f t="shared" ca="1" si="335"/>
        <v>-1.518355767151423</v>
      </c>
      <c r="N772" s="304">
        <f t="shared" ca="1" si="336"/>
        <v>-86.995377257124886</v>
      </c>
      <c r="P772" s="310">
        <f t="shared" ca="1" si="337"/>
        <v>23</v>
      </c>
      <c r="Q772" s="304">
        <f t="shared" ca="1" si="338"/>
        <v>0</v>
      </c>
      <c r="R772" s="306">
        <f t="shared" ca="1" si="339"/>
        <v>0</v>
      </c>
      <c r="S772" s="307">
        <f t="shared" ca="1" si="340"/>
        <v>4.9929999999999914</v>
      </c>
      <c r="T772" s="304">
        <f t="shared" ref="T772:T835" ca="1" si="349">m*g</f>
        <v>48.981329999999922</v>
      </c>
      <c r="U772" s="311">
        <f t="shared" ref="U772:U835" ca="1" si="350">IF(pos_xz&lt;L_rampe,Poids*COS(Beta),0)</f>
        <v>0</v>
      </c>
      <c r="V772" s="306">
        <f t="shared" ref="V772:V835" ca="1" si="351">Rho_moyen*(20000-Alt_rampe-pos_z)/(20000+Alt_rampe+pos_z)</f>
        <v>1.1840493059782984</v>
      </c>
      <c r="W772" s="304">
        <f t="shared" ref="W772:W835" ca="1" si="352">1/2*Rho*Sref*Cx*vit_xz^2</f>
        <v>47.66295890741489</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0.26547863150621787</v>
      </c>
      <c r="AH772" s="304">
        <f t="shared" ca="1" si="347"/>
        <v>-9.5307951025712772</v>
      </c>
    </row>
    <row r="773" spans="1:34" x14ac:dyDescent="0.2">
      <c r="A773" s="347">
        <f t="shared" ref="A773:A836" ca="1" si="354">IF(B772+0.01&lt;=T_ini+ROUNDUP(Temps_fin_propu,0), 0.01, IF(K772&gt;0, 0.1, 0.0001))</f>
        <v>0.1</v>
      </c>
      <c r="B773" s="304">
        <f t="shared" ref="B773:B836" ca="1" si="355">B772+pas</f>
        <v>40.900000000000269</v>
      </c>
      <c r="D773" s="306">
        <f t="shared" ref="D773:D836" ca="1" si="356">IF(AND(L772&lt;L_rampe,Poussee&lt;Poids*SIN(M772)),0,(-W772+Poussee)/m*COS(M772)-U772/m*SIN(M772))</f>
        <v>-0.50036587228389118</v>
      </c>
      <c r="E773" s="307">
        <f t="shared" ref="E773:E836" ca="1" si="357">IF(AND(L772&lt;L_rampe,Poussee&lt;Poids*SIN(M772)),0,(-W772+Poussee)/m*SIN(M772)+U772/m*COS(M772)-Poids/m)</f>
        <v>-0.27716662057948405</v>
      </c>
      <c r="F773" s="304">
        <f t="shared" ref="F773:F836" ca="1" si="358">SQRT(acc_x^2+acc_z^2)</f>
        <v>0.57200292106760342</v>
      </c>
      <c r="G773" s="306">
        <f t="shared" ref="G773:G836" ca="1" si="359">G772+acc_x*pas</f>
        <v>5.7884816841315603</v>
      </c>
      <c r="H773" s="307">
        <f t="shared" ref="H773:H836" ca="1" si="360">H772+acc_z*pas</f>
        <v>-111.26156562447946</v>
      </c>
      <c r="I773" s="304">
        <f t="shared" ref="I773:I836" ca="1" si="361">SQRT(vit_x^2+vit_z^2)</f>
        <v>111.4120393198952</v>
      </c>
      <c r="J773" s="306">
        <f t="shared" ref="J773:J836" ca="1" si="362">J772+0.5*(vit_x+G772)*pas*(K772&gt;=0)</f>
        <v>912.92924380739214</v>
      </c>
      <c r="K773" s="307">
        <f t="shared" ref="K773:K836" ca="1" si="363">K772+0.5*(vit_z+H772)*pas</f>
        <v>328.84912619404622</v>
      </c>
      <c r="L773" s="304">
        <f t="shared" ca="1" si="348"/>
        <v>970.35125186569655</v>
      </c>
      <c r="M773" s="306">
        <f t="shared" ref="M773:M836" ca="1" si="364">IF(AND(L772&gt;L_rampe,G773&gt;0),ATAN2(G773,H773),$M$4)</f>
        <v>-1.5188173026883318</v>
      </c>
      <c r="N773" s="304">
        <f t="shared" ref="N773:N836" ca="1" si="365">DEGREES(Beta)</f>
        <v>-87.021821295485069</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4.9929999999999914</v>
      </c>
      <c r="T773" s="304">
        <f t="shared" ca="1" si="349"/>
        <v>48.981329999999922</v>
      </c>
      <c r="U773" s="311">
        <f t="shared" ca="1" si="350"/>
        <v>0</v>
      </c>
      <c r="V773" s="306">
        <f t="shared" ca="1" si="351"/>
        <v>1.1853676354635696</v>
      </c>
      <c r="W773" s="304">
        <f t="shared" ca="1" si="352"/>
        <v>47.737506646181401</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0.25055816055459523</v>
      </c>
      <c r="AH773" s="304">
        <f t="shared" ref="AH773:AH836" ca="1" si="376">IF(AND(L772&lt;L_rampe,Poussee&lt;Poids*SIN(M772)), g*SIN(M772), (-W772+Poussee)/m)</f>
        <v>-9.5459561200510663</v>
      </c>
    </row>
    <row r="774" spans="1:34" x14ac:dyDescent="0.2">
      <c r="A774" s="347">
        <f t="shared" ca="1" si="354"/>
        <v>0.1</v>
      </c>
      <c r="B774" s="304">
        <f t="shared" ca="1" si="355"/>
        <v>41.00000000000027</v>
      </c>
      <c r="D774" s="306">
        <f t="shared" ca="1" si="356"/>
        <v>-0.49674179859607942</v>
      </c>
      <c r="E774" s="307">
        <f t="shared" ca="1" si="357"/>
        <v>-0.26202641403684979</v>
      </c>
      <c r="F774" s="304">
        <f t="shared" ca="1" si="358"/>
        <v>0.56161397429682836</v>
      </c>
      <c r="G774" s="306">
        <f t="shared" ca="1" si="359"/>
        <v>5.7388075042719526</v>
      </c>
      <c r="H774" s="307">
        <f t="shared" ca="1" si="360"/>
        <v>-111.28776826588314</v>
      </c>
      <c r="I774" s="304">
        <f t="shared" ca="1" si="361"/>
        <v>111.43563737499775</v>
      </c>
      <c r="J774" s="306">
        <f t="shared" ca="1" si="362"/>
        <v>913.50560826681226</v>
      </c>
      <c r="K774" s="307">
        <f t="shared" ca="1" si="363"/>
        <v>317.72165949952807</v>
      </c>
      <c r="L774" s="304">
        <f t="shared" ca="1" si="348"/>
        <v>967.18123909123301</v>
      </c>
      <c r="M774" s="306">
        <f t="shared" ca="1" si="364"/>
        <v>-1.5192746829943928</v>
      </c>
      <c r="N774" s="304">
        <f t="shared" ca="1" si="365"/>
        <v>-87.048027256654777</v>
      </c>
      <c r="P774" s="310">
        <f t="shared" ca="1" si="366"/>
        <v>23</v>
      </c>
      <c r="Q774" s="304">
        <f t="shared" ca="1" si="367"/>
        <v>0</v>
      </c>
      <c r="R774" s="306">
        <f t="shared" ca="1" si="368"/>
        <v>0</v>
      </c>
      <c r="S774" s="307">
        <f t="shared" ca="1" si="369"/>
        <v>4.9929999999999914</v>
      </c>
      <c r="T774" s="304">
        <f t="shared" ca="1" si="349"/>
        <v>48.981329999999922</v>
      </c>
      <c r="U774" s="311">
        <f t="shared" ca="1" si="350"/>
        <v>0</v>
      </c>
      <c r="V774" s="306">
        <f t="shared" ca="1" si="351"/>
        <v>1.1866877286332005</v>
      </c>
      <c r="W774" s="304">
        <f t="shared" ca="1" si="352"/>
        <v>47.810916979844933</v>
      </c>
      <c r="Y774" s="314" t="str">
        <f t="shared" ca="1" si="370"/>
        <v/>
      </c>
      <c r="Z774" s="315" t="str">
        <f t="shared" ca="1" si="371"/>
        <v/>
      </c>
      <c r="AA774" s="316" t="str">
        <f t="shared" ca="1" si="372"/>
        <v/>
      </c>
      <c r="AC774" s="310">
        <f t="shared" ca="1" si="373"/>
        <v>41.00000000000027</v>
      </c>
      <c r="AD774" s="323">
        <f t="shared" ca="1" si="374"/>
        <v>913.50560826681226</v>
      </c>
      <c r="AE774" s="324" t="e">
        <f t="shared" ca="1" si="353"/>
        <v>#N/A</v>
      </c>
      <c r="AG774" s="306">
        <f t="shared" ca="1" si="375"/>
        <v>0.23586399116472734</v>
      </c>
      <c r="AH774" s="304">
        <f t="shared" ca="1" si="376"/>
        <v>-9.5608865704349046</v>
      </c>
    </row>
    <row r="775" spans="1:34" x14ac:dyDescent="0.2">
      <c r="A775" s="347">
        <f t="shared" ca="1" si="354"/>
        <v>0.1</v>
      </c>
      <c r="B775" s="304">
        <f t="shared" ca="1" si="355"/>
        <v>41.100000000000271</v>
      </c>
      <c r="D775" s="306">
        <f t="shared" ca="1" si="356"/>
        <v>-0.49313186134233028</v>
      </c>
      <c r="E775" s="307">
        <f t="shared" ca="1" si="357"/>
        <v>-0.24711707201596944</v>
      </c>
      <c r="F775" s="304">
        <f t="shared" ca="1" si="358"/>
        <v>0.55158488009797468</v>
      </c>
      <c r="G775" s="306">
        <f t="shared" ca="1" si="359"/>
        <v>5.6894943181377196</v>
      </c>
      <c r="H775" s="307">
        <f t="shared" ca="1" si="360"/>
        <v>-111.31247997308475</v>
      </c>
      <c r="I775" s="304">
        <f t="shared" ca="1" si="361"/>
        <v>111.45778816823217</v>
      </c>
      <c r="J775" s="306">
        <f t="shared" ca="1" si="362"/>
        <v>914.07702335793272</v>
      </c>
      <c r="K775" s="307">
        <f t="shared" ca="1" si="363"/>
        <v>306.5916470875797</v>
      </c>
      <c r="L775" s="304">
        <f t="shared" ca="1" si="348"/>
        <v>964.12408054916546</v>
      </c>
      <c r="M775" s="306">
        <f t="shared" ca="1" si="364"/>
        <v>-1.5197279521406695</v>
      </c>
      <c r="N775" s="304">
        <f t="shared" ca="1" si="365"/>
        <v>-87.073997665719929</v>
      </c>
      <c r="P775" s="310">
        <f t="shared" ca="1" si="366"/>
        <v>23</v>
      </c>
      <c r="Q775" s="304">
        <f t="shared" ca="1" si="367"/>
        <v>0</v>
      </c>
      <c r="R775" s="306">
        <f t="shared" ca="1" si="368"/>
        <v>0</v>
      </c>
      <c r="S775" s="307">
        <f t="shared" ca="1" si="369"/>
        <v>4.9929999999999914</v>
      </c>
      <c r="T775" s="304">
        <f t="shared" ca="1" si="349"/>
        <v>48.981329999999922</v>
      </c>
      <c r="U775" s="311">
        <f t="shared" ca="1" si="350"/>
        <v>0</v>
      </c>
      <c r="V775" s="306">
        <f t="shared" ca="1" si="351"/>
        <v>1.1880095710585534</v>
      </c>
      <c r="W775" s="304">
        <f t="shared" ca="1" si="352"/>
        <v>47.883203639331136</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0.22139343570645842</v>
      </c>
      <c r="AH775" s="304">
        <f t="shared" ca="1" si="376"/>
        <v>-9.5755892208782321</v>
      </c>
    </row>
    <row r="776" spans="1:34" x14ac:dyDescent="0.2">
      <c r="A776" s="347">
        <f t="shared" ca="1" si="354"/>
        <v>0.1</v>
      </c>
      <c r="B776" s="304">
        <f t="shared" ca="1" si="355"/>
        <v>41.200000000000273</v>
      </c>
      <c r="D776" s="306">
        <f t="shared" ca="1" si="356"/>
        <v>-0.48953627725550231</v>
      </c>
      <c r="E776" s="307">
        <f t="shared" ca="1" si="357"/>
        <v>-0.23243580692464683</v>
      </c>
      <c r="F776" s="304">
        <f t="shared" ca="1" si="358"/>
        <v>0.54191528036205783</v>
      </c>
      <c r="G776" s="306">
        <f t="shared" ca="1" si="359"/>
        <v>5.6405406904121698</v>
      </c>
      <c r="H776" s="307">
        <f t="shared" ca="1" si="360"/>
        <v>-111.33572355377721</v>
      </c>
      <c r="I776" s="304">
        <f t="shared" ca="1" si="361"/>
        <v>111.47851379760719</v>
      </c>
      <c r="J776" s="306">
        <f t="shared" ca="1" si="362"/>
        <v>914.64352510836022</v>
      </c>
      <c r="K776" s="307">
        <f t="shared" ca="1" si="363"/>
        <v>295.45923691123659</v>
      </c>
      <c r="L776" s="304">
        <f t="shared" ca="1" si="348"/>
        <v>961.18101245229445</v>
      </c>
      <c r="M776" s="306">
        <f t="shared" ca="1" si="364"/>
        <v>-1.5201771535389133</v>
      </c>
      <c r="N776" s="304">
        <f t="shared" ca="1" si="365"/>
        <v>-87.099735009990667</v>
      </c>
      <c r="P776" s="310">
        <f t="shared" ca="1" si="366"/>
        <v>23</v>
      </c>
      <c r="Q776" s="304">
        <f t="shared" ca="1" si="367"/>
        <v>0</v>
      </c>
      <c r="R776" s="306">
        <f t="shared" ca="1" si="368"/>
        <v>0</v>
      </c>
      <c r="S776" s="307">
        <f t="shared" ca="1" si="369"/>
        <v>4.9929999999999914</v>
      </c>
      <c r="T776" s="304">
        <f t="shared" ca="1" si="349"/>
        <v>48.981329999999922</v>
      </c>
      <c r="U776" s="311">
        <f t="shared" ca="1" si="350"/>
        <v>0</v>
      </c>
      <c r="V776" s="306">
        <f t="shared" ca="1" si="351"/>
        <v>1.18933314851452</v>
      </c>
      <c r="W776" s="304">
        <f t="shared" ca="1" si="352"/>
        <v>47.954380268097765</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0.20714382202266535</v>
      </c>
      <c r="AH776" s="304">
        <f t="shared" ca="1" si="376"/>
        <v>-9.5900668214162259</v>
      </c>
    </row>
    <row r="777" spans="1:34" x14ac:dyDescent="0.2">
      <c r="A777" s="347">
        <f t="shared" ca="1" si="354"/>
        <v>0.1</v>
      </c>
      <c r="B777" s="304">
        <f t="shared" ca="1" si="355"/>
        <v>41.300000000000274</v>
      </c>
      <c r="D777" s="306">
        <f t="shared" ca="1" si="356"/>
        <v>-0.48595525531478728</v>
      </c>
      <c r="E777" s="307">
        <f t="shared" ca="1" si="357"/>
        <v>-0.21797984895328426</v>
      </c>
      <c r="F777" s="304">
        <f t="shared" ca="1" si="358"/>
        <v>0.53260466081114677</v>
      </c>
      <c r="G777" s="306">
        <f t="shared" ca="1" si="359"/>
        <v>5.5919451648806913</v>
      </c>
      <c r="H777" s="307">
        <f t="shared" ca="1" si="360"/>
        <v>-111.35752153867254</v>
      </c>
      <c r="I777" s="304">
        <f t="shared" ca="1" si="361"/>
        <v>111.49783609542811</v>
      </c>
      <c r="J777" s="306">
        <f t="shared" ca="1" si="362"/>
        <v>915.20514940112491</v>
      </c>
      <c r="K777" s="307">
        <f t="shared" ca="1" si="363"/>
        <v>284.32457465661412</v>
      </c>
      <c r="L777" s="304">
        <f t="shared" ca="1" si="348"/>
        <v>958.35323823942906</v>
      </c>
      <c r="M777" s="306">
        <f t="shared" ca="1" si="364"/>
        <v>-1.5206223299553909</v>
      </c>
      <c r="N777" s="304">
        <f t="shared" ca="1" si="365"/>
        <v>-87.125241739793594</v>
      </c>
      <c r="P777" s="310">
        <f t="shared" ca="1" si="366"/>
        <v>23</v>
      </c>
      <c r="Q777" s="304">
        <f t="shared" ca="1" si="367"/>
        <v>0</v>
      </c>
      <c r="R777" s="306">
        <f t="shared" ca="1" si="368"/>
        <v>0</v>
      </c>
      <c r="S777" s="307">
        <f t="shared" ca="1" si="369"/>
        <v>4.9929999999999914</v>
      </c>
      <c r="T777" s="304">
        <f t="shared" ca="1" si="349"/>
        <v>48.981329999999922</v>
      </c>
      <c r="U777" s="311">
        <f t="shared" ca="1" si="350"/>
        <v>0</v>
      </c>
      <c r="V777" s="306">
        <f t="shared" ca="1" si="351"/>
        <v>1.1906584469773751</v>
      </c>
      <c r="W777" s="304">
        <f t="shared" ca="1" si="352"/>
        <v>48.024460420250129</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0.19311249386692531</v>
      </c>
      <c r="AH777" s="304">
        <f t="shared" ca="1" si="376"/>
        <v>-9.604322104565961</v>
      </c>
    </row>
    <row r="778" spans="1:34" x14ac:dyDescent="0.2">
      <c r="A778" s="347">
        <f t="shared" ca="1" si="354"/>
        <v>0.1</v>
      </c>
      <c r="B778" s="304">
        <f t="shared" ca="1" si="355"/>
        <v>41.400000000000276</v>
      </c>
      <c r="D778" s="306">
        <f t="shared" ca="1" si="356"/>
        <v>-0.48238899689142362</v>
      </c>
      <c r="E778" s="307">
        <f t="shared" ca="1" si="357"/>
        <v>-0.20374644645652928</v>
      </c>
      <c r="F778" s="304">
        <f t="shared" ca="1" si="358"/>
        <v>0.52365232622951008</v>
      </c>
      <c r="G778" s="306">
        <f t="shared" ca="1" si="359"/>
        <v>5.543706265191549</v>
      </c>
      <c r="H778" s="307">
        <f t="shared" ca="1" si="360"/>
        <v>-111.3778961833182</v>
      </c>
      <c r="I778" s="304">
        <f t="shared" ca="1" si="361"/>
        <v>111.5157766299313</v>
      </c>
      <c r="J778" s="306">
        <f t="shared" ca="1" si="362"/>
        <v>915.76193197262853</v>
      </c>
      <c r="K778" s="307">
        <f t="shared" ca="1" si="363"/>
        <v>273.18780377051456</v>
      </c>
      <c r="L778" s="304">
        <f t="shared" ca="1" si="348"/>
        <v>955.64192675876166</v>
      </c>
      <c r="M778" s="306">
        <f t="shared" ca="1" si="364"/>
        <v>-1.5210635235243626</v>
      </c>
      <c r="N778" s="304">
        <f t="shared" ca="1" si="365"/>
        <v>-87.150520269243984</v>
      </c>
      <c r="P778" s="310">
        <f t="shared" ca="1" si="366"/>
        <v>23</v>
      </c>
      <c r="Q778" s="304">
        <f t="shared" ca="1" si="367"/>
        <v>0</v>
      </c>
      <c r="R778" s="306">
        <f t="shared" ca="1" si="368"/>
        <v>0</v>
      </c>
      <c r="S778" s="307">
        <f t="shared" ca="1" si="369"/>
        <v>4.9929999999999914</v>
      </c>
      <c r="T778" s="304">
        <f t="shared" ca="1" si="349"/>
        <v>48.981329999999922</v>
      </c>
      <c r="U778" s="311">
        <f t="shared" ca="1" si="350"/>
        <v>0</v>
      </c>
      <c r="V778" s="306">
        <f t="shared" ca="1" si="351"/>
        <v>1.191985452622637</v>
      </c>
      <c r="W778" s="304">
        <f t="shared" ca="1" si="352"/>
        <v>48.093457558755148</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0.17929681131966113</v>
      </c>
      <c r="AH778" s="304">
        <f t="shared" ca="1" si="376"/>
        <v>-9.6183577849489712</v>
      </c>
    </row>
    <row r="779" spans="1:34" x14ac:dyDescent="0.2">
      <c r="A779" s="347">
        <f t="shared" ca="1" si="354"/>
        <v>0.1</v>
      </c>
      <c r="B779" s="304">
        <f t="shared" ca="1" si="355"/>
        <v>41.500000000000277</v>
      </c>
      <c r="D779" s="306">
        <f t="shared" ca="1" si="356"/>
        <v>-0.47883769589296815</v>
      </c>
      <c r="E779" s="307">
        <f t="shared" ca="1" si="357"/>
        <v>-0.18973286631494268</v>
      </c>
      <c r="F779" s="304">
        <f t="shared" ca="1" si="358"/>
        <v>0.51505737502551163</v>
      </c>
      <c r="G779" s="306">
        <f t="shared" ca="1" si="359"/>
        <v>5.4958224956022521</v>
      </c>
      <c r="H779" s="307">
        <f t="shared" ca="1" si="360"/>
        <v>-111.39686946994969</v>
      </c>
      <c r="I779" s="304">
        <f t="shared" ca="1" si="361"/>
        <v>111.53235670695827</v>
      </c>
      <c r="J779" s="306">
        <f t="shared" ca="1" si="362"/>
        <v>916.3139084106682</v>
      </c>
      <c r="K779" s="307">
        <f t="shared" ca="1" si="363"/>
        <v>262.04906548785118</v>
      </c>
      <c r="L779" s="304">
        <f t="shared" ca="1" si="348"/>
        <v>953.04821046465975</v>
      </c>
      <c r="M779" s="306">
        <f t="shared" ca="1" si="364"/>
        <v>-1.5215007757612151</v>
      </c>
      <c r="N779" s="304">
        <f t="shared" ca="1" si="365"/>
        <v>-87.175572976998296</v>
      </c>
      <c r="P779" s="310">
        <f t="shared" ca="1" si="366"/>
        <v>23</v>
      </c>
      <c r="Q779" s="304">
        <f t="shared" ca="1" si="367"/>
        <v>0</v>
      </c>
      <c r="R779" s="306">
        <f t="shared" ca="1" si="368"/>
        <v>0</v>
      </c>
      <c r="S779" s="307">
        <f t="shared" ca="1" si="369"/>
        <v>4.9929999999999914</v>
      </c>
      <c r="T779" s="304">
        <f t="shared" ca="1" si="349"/>
        <v>48.981329999999922</v>
      </c>
      <c r="U779" s="311">
        <f t="shared" ca="1" si="350"/>
        <v>0</v>
      </c>
      <c r="V779" s="306">
        <f t="shared" ca="1" si="351"/>
        <v>1.1933141518229378</v>
      </c>
      <c r="W779" s="304">
        <f t="shared" ca="1" si="352"/>
        <v>48.16138505375217</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0.16569415118342867</v>
      </c>
      <c r="AH779" s="304">
        <f t="shared" ca="1" si="376"/>
        <v>-9.6321765589335531</v>
      </c>
    </row>
    <row r="780" spans="1:34" x14ac:dyDescent="0.2">
      <c r="A780" s="347">
        <f t="shared" ca="1" si="354"/>
        <v>0.1</v>
      </c>
      <c r="B780" s="304">
        <f t="shared" ca="1" si="355"/>
        <v>41.600000000000279</v>
      </c>
      <c r="D780" s="306">
        <f t="shared" ca="1" si="356"/>
        <v>-0.47530153890615706</v>
      </c>
      <c r="E780" s="307">
        <f t="shared" ca="1" si="357"/>
        <v>-0.17593639427701468</v>
      </c>
      <c r="F780" s="304">
        <f t="shared" ca="1" si="358"/>
        <v>0.50681867341067688</v>
      </c>
      <c r="G780" s="306">
        <f t="shared" ca="1" si="359"/>
        <v>5.4482923417116362</v>
      </c>
      <c r="H780" s="307">
        <f t="shared" ca="1" si="360"/>
        <v>-111.41446310937739</v>
      </c>
      <c r="I780" s="304">
        <f t="shared" ca="1" si="361"/>
        <v>111.54759737166718</v>
      </c>
      <c r="J780" s="306">
        <f t="shared" ca="1" si="362"/>
        <v>916.8611141525339</v>
      </c>
      <c r="K780" s="307">
        <f t="shared" ca="1" si="363"/>
        <v>250.90849885888483</v>
      </c>
      <c r="L780" s="304">
        <f t="shared" ca="1" si="348"/>
        <v>950.57318363429795</v>
      </c>
      <c r="M780" s="306">
        <f t="shared" ca="1" si="364"/>
        <v>-1.521934127575264</v>
      </c>
      <c r="N780" s="304">
        <f t="shared" ca="1" si="365"/>
        <v>-87.200402206987633</v>
      </c>
      <c r="P780" s="310">
        <f t="shared" ca="1" si="366"/>
        <v>23</v>
      </c>
      <c r="Q780" s="304">
        <f t="shared" ca="1" si="367"/>
        <v>0</v>
      </c>
      <c r="R780" s="306">
        <f t="shared" ca="1" si="368"/>
        <v>0</v>
      </c>
      <c r="S780" s="307">
        <f t="shared" ca="1" si="369"/>
        <v>4.9929999999999914</v>
      </c>
      <c r="T780" s="304">
        <f t="shared" ca="1" si="349"/>
        <v>48.981329999999922</v>
      </c>
      <c r="U780" s="311">
        <f t="shared" ca="1" si="350"/>
        <v>0</v>
      </c>
      <c r="V780" s="306">
        <f t="shared" ca="1" si="351"/>
        <v>1.1946445311459037</v>
      </c>
      <c r="W780" s="304">
        <f t="shared" ca="1" si="352"/>
        <v>48.228256180957636</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0.15230190735775651</v>
      </c>
      <c r="AH780" s="304">
        <f t="shared" ca="1" si="376"/>
        <v>-9.6457811042964661</v>
      </c>
    </row>
    <row r="781" spans="1:34" x14ac:dyDescent="0.2">
      <c r="A781" s="347">
        <f t="shared" ca="1" si="354"/>
        <v>0.1</v>
      </c>
      <c r="B781" s="304">
        <f t="shared" ca="1" si="355"/>
        <v>41.70000000000028</v>
      </c>
      <c r="D781" s="306">
        <f t="shared" ca="1" si="356"/>
        <v>-0.47178070533829558</v>
      </c>
      <c r="E781" s="307">
        <f t="shared" ca="1" si="357"/>
        <v>-0.16235433528219012</v>
      </c>
      <c r="F781" s="304">
        <f t="shared" ca="1" si="358"/>
        <v>0.49893482952628343</v>
      </c>
      <c r="G781" s="306">
        <f t="shared" ca="1" si="359"/>
        <v>5.4011142711778071</v>
      </c>
      <c r="H781" s="307">
        <f t="shared" ca="1" si="360"/>
        <v>-111.43069854290562</v>
      </c>
      <c r="I781" s="304">
        <f t="shared" ca="1" si="361"/>
        <v>111.56151941027976</v>
      </c>
      <c r="J781" s="306">
        <f t="shared" ca="1" si="362"/>
        <v>917.40358448317841</v>
      </c>
      <c r="K781" s="307">
        <f t="shared" ca="1" si="363"/>
        <v>239.76624077627068</v>
      </c>
      <c r="L781" s="304">
        <f t="shared" ca="1" si="348"/>
        <v>948.21790061070294</v>
      </c>
      <c r="M781" s="306">
        <f t="shared" ca="1" si="364"/>
        <v>-1.522363619282233</v>
      </c>
      <c r="N781" s="304">
        <f t="shared" ca="1" si="365"/>
        <v>-87.225010269132824</v>
      </c>
      <c r="P781" s="310">
        <f t="shared" ca="1" si="366"/>
        <v>23</v>
      </c>
      <c r="Q781" s="304">
        <f t="shared" ca="1" si="367"/>
        <v>0</v>
      </c>
      <c r="R781" s="306">
        <f t="shared" ca="1" si="368"/>
        <v>0</v>
      </c>
      <c r="S781" s="307">
        <f t="shared" ca="1" si="369"/>
        <v>4.9929999999999914</v>
      </c>
      <c r="T781" s="304">
        <f t="shared" ca="1" si="349"/>
        <v>48.981329999999922</v>
      </c>
      <c r="U781" s="311">
        <f t="shared" ca="1" si="350"/>
        <v>0</v>
      </c>
      <c r="V781" s="306">
        <f t="shared" ca="1" si="351"/>
        <v>1.1959765773520452</v>
      </c>
      <c r="W781" s="304">
        <f t="shared" ca="1" si="352"/>
        <v>48.294084120161152</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0.13911749119416505</v>
      </c>
      <c r="AH781" s="304">
        <f t="shared" ca="1" si="376"/>
        <v>-9.6591740799034085</v>
      </c>
    </row>
    <row r="782" spans="1:34" x14ac:dyDescent="0.2">
      <c r="A782" s="347">
        <f t="shared" ca="1" si="354"/>
        <v>0.1</v>
      </c>
      <c r="B782" s="304">
        <f t="shared" ca="1" si="355"/>
        <v>41.800000000000281</v>
      </c>
      <c r="D782" s="306">
        <f t="shared" ca="1" si="356"/>
        <v>-0.46827536755714949</v>
      </c>
      <c r="E782" s="307">
        <f t="shared" ca="1" si="357"/>
        <v>-0.14898401376532888</v>
      </c>
      <c r="F782" s="304">
        <f t="shared" ca="1" si="358"/>
        <v>0.49140416788872598</v>
      </c>
      <c r="G782" s="306">
        <f t="shared" ca="1" si="359"/>
        <v>5.3542867344220921</v>
      </c>
      <c r="H782" s="307">
        <f t="shared" ca="1" si="360"/>
        <v>-111.44559694428214</v>
      </c>
      <c r="I782" s="304">
        <f t="shared" ca="1" si="361"/>
        <v>111.57414335186176</v>
      </c>
      <c r="J782" s="306">
        <f t="shared" ca="1" si="362"/>
        <v>917.94135453345837</v>
      </c>
      <c r="K782" s="307">
        <f t="shared" ca="1" si="363"/>
        <v>228.62242600191129</v>
      </c>
      <c r="L782" s="304">
        <f t="shared" ca="1" si="348"/>
        <v>945.9833740789104</v>
      </c>
      <c r="M782" s="306">
        <f t="shared" ca="1" si="364"/>
        <v>-1.5227892906164189</v>
      </c>
      <c r="N782" s="304">
        <f t="shared" ca="1" si="365"/>
        <v>-87.249399440041373</v>
      </c>
      <c r="P782" s="310">
        <f t="shared" ca="1" si="366"/>
        <v>23</v>
      </c>
      <c r="Q782" s="304">
        <f t="shared" ca="1" si="367"/>
        <v>0</v>
      </c>
      <c r="R782" s="306">
        <f t="shared" ca="1" si="368"/>
        <v>0</v>
      </c>
      <c r="S782" s="307">
        <f t="shared" ca="1" si="369"/>
        <v>4.9929999999999914</v>
      </c>
      <c r="T782" s="304">
        <f t="shared" ca="1" si="349"/>
        <v>48.981329999999922</v>
      </c>
      <c r="U782" s="311">
        <f t="shared" ca="1" si="350"/>
        <v>0</v>
      </c>
      <c r="V782" s="306">
        <f t="shared" ca="1" si="351"/>
        <v>1.1973102773926565</v>
      </c>
      <c r="W782" s="304">
        <f t="shared" ca="1" si="352"/>
        <v>48.358881953810545</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0.12613833183188028</v>
      </c>
      <c r="AH782" s="304">
        <f t="shared" ca="1" si="376"/>
        <v>-9.6723581254078184</v>
      </c>
    </row>
    <row r="783" spans="1:34" x14ac:dyDescent="0.2">
      <c r="A783" s="347">
        <f t="shared" ca="1" si="354"/>
        <v>0.1</v>
      </c>
      <c r="B783" s="304">
        <f t="shared" ca="1" si="355"/>
        <v>41.900000000000283</v>
      </c>
      <c r="D783" s="306">
        <f t="shared" ca="1" si="356"/>
        <v>-0.46478569102933087</v>
      </c>
      <c r="E783" s="307">
        <f t="shared" ca="1" si="357"/>
        <v>-0.13582277394314701</v>
      </c>
      <c r="F783" s="304">
        <f t="shared" ca="1" si="358"/>
        <v>0.48422470456103728</v>
      </c>
      <c r="G783" s="306">
        <f t="shared" ca="1" si="359"/>
        <v>5.3078081653191589</v>
      </c>
      <c r="H783" s="307">
        <f t="shared" ca="1" si="360"/>
        <v>-111.45917922167646</v>
      </c>
      <c r="I783" s="304">
        <f t="shared" ca="1" si="361"/>
        <v>111.58548947013507</v>
      </c>
      <c r="J783" s="306">
        <f t="shared" ca="1" si="362"/>
        <v>918.47445927844547</v>
      </c>
      <c r="K783" s="307">
        <f t="shared" ca="1" si="363"/>
        <v>217.47718719361336</v>
      </c>
      <c r="L783" s="304">
        <f t="shared" ca="1" si="348"/>
        <v>943.87057338200702</v>
      </c>
      <c r="M783" s="306">
        <f t="shared" ca="1" si="364"/>
        <v>-1.5232111807425524</v>
      </c>
      <c r="N783" s="304">
        <f t="shared" ca="1" si="365"/>
        <v>-87.273571963687061</v>
      </c>
      <c r="P783" s="310">
        <f t="shared" ca="1" si="366"/>
        <v>23</v>
      </c>
      <c r="Q783" s="304">
        <f t="shared" ca="1" si="367"/>
        <v>0</v>
      </c>
      <c r="R783" s="306">
        <f t="shared" ca="1" si="368"/>
        <v>0</v>
      </c>
      <c r="S783" s="307">
        <f t="shared" ca="1" si="369"/>
        <v>4.9929999999999914</v>
      </c>
      <c r="T783" s="304">
        <f t="shared" ca="1" si="349"/>
        <v>48.981329999999922</v>
      </c>
      <c r="U783" s="311">
        <f t="shared" ca="1" si="350"/>
        <v>0</v>
      </c>
      <c r="V783" s="306">
        <f t="shared" ca="1" si="351"/>
        <v>1.1986456184077281</v>
      </c>
      <c r="W783" s="304">
        <f t="shared" ca="1" si="352"/>
        <v>48.42266266568339</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0.1133618765147677</v>
      </c>
      <c r="AH783" s="304">
        <f t="shared" ca="1" si="376"/>
        <v>-9.6853358609674807</v>
      </c>
    </row>
    <row r="784" spans="1:34" x14ac:dyDescent="0.2">
      <c r="A784" s="347">
        <f t="shared" ca="1" si="354"/>
        <v>0.1</v>
      </c>
      <c r="B784" s="304">
        <f t="shared" ca="1" si="355"/>
        <v>42.000000000000284</v>
      </c>
      <c r="D784" s="306">
        <f t="shared" ca="1" si="356"/>
        <v>-0.46131183445714818</v>
      </c>
      <c r="E784" s="307">
        <f t="shared" ca="1" si="357"/>
        <v>-0.12286798008310384</v>
      </c>
      <c r="F784" s="304">
        <f t="shared" ca="1" si="358"/>
        <v>0.47739412348700033</v>
      </c>
      <c r="G784" s="306">
        <f t="shared" ca="1" si="359"/>
        <v>5.2616769818734443</v>
      </c>
      <c r="H784" s="307">
        <f t="shared" ca="1" si="360"/>
        <v>-111.47146601968477</v>
      </c>
      <c r="I784" s="304">
        <f t="shared" ca="1" si="361"/>
        <v>111.59557778531958</v>
      </c>
      <c r="J784" s="306">
        <f t="shared" ca="1" si="362"/>
        <v>919.00293353580514</v>
      </c>
      <c r="K784" s="307">
        <f t="shared" ca="1" si="363"/>
        <v>206.3306549315453</v>
      </c>
      <c r="L784" s="304">
        <f t="shared" ca="1" si="348"/>
        <v>941.88042288386896</v>
      </c>
      <c r="M784" s="306">
        <f t="shared" ca="1" si="364"/>
        <v>-1.5236293282673627</v>
      </c>
      <c r="N784" s="304">
        <f t="shared" ca="1" si="365"/>
        <v>-87.297530052072545</v>
      </c>
      <c r="P784" s="310">
        <f t="shared" ca="1" si="366"/>
        <v>23</v>
      </c>
      <c r="Q784" s="304">
        <f t="shared" ca="1" si="367"/>
        <v>0</v>
      </c>
      <c r="R784" s="306">
        <f t="shared" ca="1" si="368"/>
        <v>0</v>
      </c>
      <c r="S784" s="307">
        <f t="shared" ca="1" si="369"/>
        <v>4.9929999999999914</v>
      </c>
      <c r="T784" s="304">
        <f t="shared" ca="1" si="349"/>
        <v>48.981329999999922</v>
      </c>
      <c r="U784" s="311">
        <f t="shared" ca="1" si="350"/>
        <v>0</v>
      </c>
      <c r="V784" s="306">
        <f t="shared" ca="1" si="351"/>
        <v>1.1999825877238672</v>
      </c>
      <c r="W784" s="304">
        <f t="shared" ca="1" si="352"/>
        <v>48.485439139642629</v>
      </c>
      <c r="Y784" s="314" t="str">
        <f t="shared" ca="1" si="370"/>
        <v/>
      </c>
      <c r="Z784" s="315" t="str">
        <f t="shared" ca="1" si="371"/>
        <v/>
      </c>
      <c r="AA784" s="316" t="str">
        <f t="shared" ca="1" si="372"/>
        <v/>
      </c>
      <c r="AC784" s="310">
        <f t="shared" ca="1" si="373"/>
        <v>42.000000000000284</v>
      </c>
      <c r="AD784" s="323">
        <f t="shared" ca="1" si="374"/>
        <v>919.00293353580514</v>
      </c>
      <c r="AE784" s="324" t="e">
        <f t="shared" ca="1" si="353"/>
        <v>#N/A</v>
      </c>
      <c r="AG784" s="306">
        <f t="shared" ca="1" si="375"/>
        <v>0.10078559089000549</v>
      </c>
      <c r="AH784" s="304">
        <f t="shared" ca="1" si="376"/>
        <v>-9.6981098869784645</v>
      </c>
    </row>
    <row r="785" spans="1:34" x14ac:dyDescent="0.2">
      <c r="A785" s="347">
        <f t="shared" ca="1" si="354"/>
        <v>0.1</v>
      </c>
      <c r="B785" s="304">
        <f t="shared" ca="1" si="355"/>
        <v>42.100000000000286</v>
      </c>
      <c r="D785" s="306">
        <f t="shared" ca="1" si="356"/>
        <v>-0.45785394991389067</v>
      </c>
      <c r="E785" s="307">
        <f t="shared" ca="1" si="357"/>
        <v>-0.11011701675525565</v>
      </c>
      <c r="F785" s="304">
        <f t="shared" ca="1" si="358"/>
        <v>0.47090975444434019</v>
      </c>
      <c r="G785" s="306">
        <f t="shared" ca="1" si="359"/>
        <v>5.215891586882055</v>
      </c>
      <c r="H785" s="307">
        <f t="shared" ca="1" si="360"/>
        <v>-111.4824777213603</v>
      </c>
      <c r="I785" s="304">
        <f t="shared" ca="1" si="361"/>
        <v>111.60442806600329</v>
      </c>
      <c r="J785" s="306">
        <f t="shared" ca="1" si="362"/>
        <v>919.52681196424294</v>
      </c>
      <c r="K785" s="307">
        <f t="shared" ca="1" si="363"/>
        <v>195.18295774449305</v>
      </c>
      <c r="L785" s="304">
        <f t="shared" ca="1" si="348"/>
        <v>940.01380038540537</v>
      </c>
      <c r="M785" s="306">
        <f t="shared" ca="1" si="364"/>
        <v>-1.5240437712508534</v>
      </c>
      <c r="N785" s="304">
        <f t="shared" ca="1" si="365"/>
        <v>-87.321275885875366</v>
      </c>
      <c r="P785" s="310">
        <f t="shared" ca="1" si="366"/>
        <v>23</v>
      </c>
      <c r="Q785" s="304">
        <f t="shared" ca="1" si="367"/>
        <v>0</v>
      </c>
      <c r="R785" s="306">
        <f t="shared" ca="1" si="368"/>
        <v>0</v>
      </c>
      <c r="S785" s="307">
        <f t="shared" ca="1" si="369"/>
        <v>4.9929999999999914</v>
      </c>
      <c r="T785" s="304">
        <f t="shared" ca="1" si="349"/>
        <v>48.981329999999922</v>
      </c>
      <c r="U785" s="311">
        <f t="shared" ca="1" si="350"/>
        <v>0</v>
      </c>
      <c r="V785" s="306">
        <f t="shared" ca="1" si="351"/>
        <v>1.2013211728522311</v>
      </c>
      <c r="W785" s="304">
        <f t="shared" ca="1" si="352"/>
        <v>48.547224158474108</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8.8406959289017095E-2</v>
      </c>
      <c r="AH785" s="304">
        <f t="shared" ca="1" si="376"/>
        <v>-9.7106827838258987</v>
      </c>
    </row>
    <row r="786" spans="1:34" x14ac:dyDescent="0.2">
      <c r="A786" s="347">
        <f t="shared" ca="1" si="354"/>
        <v>0.1</v>
      </c>
      <c r="B786" s="304">
        <f t="shared" ca="1" si="355"/>
        <v>42.200000000000287</v>
      </c>
      <c r="D786" s="306">
        <f t="shared" ca="1" si="356"/>
        <v>-0.45441218297756258</v>
      </c>
      <c r="E786" s="307">
        <f t="shared" ca="1" si="357"/>
        <v>-9.7567289067503893E-2</v>
      </c>
      <c r="F786" s="304">
        <f t="shared" ca="1" si="358"/>
        <v>0.46476855308251619</v>
      </c>
      <c r="G786" s="306">
        <f t="shared" ca="1" si="359"/>
        <v>5.1704503685842989</v>
      </c>
      <c r="H786" s="307">
        <f t="shared" ca="1" si="360"/>
        <v>-111.49223445026705</v>
      </c>
      <c r="I786" s="304">
        <f t="shared" ca="1" si="361"/>
        <v>111.61205983103845</v>
      </c>
      <c r="J786" s="306">
        <f t="shared" ca="1" si="362"/>
        <v>920.04612906201623</v>
      </c>
      <c r="K786" s="307">
        <f t="shared" ca="1" si="363"/>
        <v>184.03422213591168</v>
      </c>
      <c r="L786" s="304">
        <f t="shared" ca="1" si="348"/>
        <v>938.27153560105955</v>
      </c>
      <c r="M786" s="306">
        <f t="shared" ca="1" si="364"/>
        <v>-1.5244545472172994</v>
      </c>
      <c r="N786" s="304">
        <f t="shared" ca="1" si="365"/>
        <v>-87.344811615078129</v>
      </c>
      <c r="P786" s="310">
        <f t="shared" ca="1" si="366"/>
        <v>23</v>
      </c>
      <c r="Q786" s="304">
        <f t="shared" ca="1" si="367"/>
        <v>0</v>
      </c>
      <c r="R786" s="306">
        <f t="shared" ca="1" si="368"/>
        <v>0</v>
      </c>
      <c r="S786" s="307">
        <f t="shared" ca="1" si="369"/>
        <v>4.9929999999999914</v>
      </c>
      <c r="T786" s="304">
        <f t="shared" ca="1" si="349"/>
        <v>48.981329999999922</v>
      </c>
      <c r="U786" s="311">
        <f t="shared" ca="1" si="350"/>
        <v>0</v>
      </c>
      <c r="V786" s="306">
        <f t="shared" ca="1" si="351"/>
        <v>1.2026613614864712</v>
      </c>
      <c r="W786" s="304">
        <f t="shared" ca="1" si="352"/>
        <v>48.608030402803273</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7.6223484991126966E-2</v>
      </c>
      <c r="AH786" s="304">
        <f t="shared" ca="1" si="376"/>
        <v>-9.7230571116511495</v>
      </c>
    </row>
    <row r="787" spans="1:34" x14ac:dyDescent="0.2">
      <c r="A787" s="347">
        <f t="shared" ca="1" si="354"/>
        <v>0.1</v>
      </c>
      <c r="B787" s="304">
        <f t="shared" ca="1" si="355"/>
        <v>42.300000000000288</v>
      </c>
      <c r="D787" s="306">
        <f t="shared" ca="1" si="356"/>
        <v>-0.45098667286300492</v>
      </c>
      <c r="E787" s="307">
        <f t="shared" ca="1" si="357"/>
        <v>-8.521622288476749E-2</v>
      </c>
      <c r="F787" s="304">
        <f t="shared" ca="1" si="358"/>
        <v>0.45896708350685606</v>
      </c>
      <c r="G787" s="306">
        <f t="shared" ca="1" si="359"/>
        <v>5.1253517012979986</v>
      </c>
      <c r="H787" s="307">
        <f t="shared" ca="1" si="360"/>
        <v>-111.50075607255553</v>
      </c>
      <c r="I787" s="304">
        <f t="shared" ca="1" si="361"/>
        <v>111.61849235146265</v>
      </c>
      <c r="J787" s="306">
        <f t="shared" ca="1" si="362"/>
        <v>920.56091916551031</v>
      </c>
      <c r="K787" s="307">
        <f t="shared" ca="1" si="363"/>
        <v>172.88457260977054</v>
      </c>
      <c r="L787" s="304">
        <f t="shared" ca="1" si="348"/>
        <v>936.65440870222369</v>
      </c>
      <c r="M787" s="306">
        <f t="shared" ca="1" si="364"/>
        <v>-1.5248616931659715</v>
      </c>
      <c r="N787" s="304">
        <f t="shared" ca="1" si="365"/>
        <v>-87.368139359582898</v>
      </c>
      <c r="P787" s="310">
        <f t="shared" ca="1" si="366"/>
        <v>23</v>
      </c>
      <c r="Q787" s="304">
        <f t="shared" ca="1" si="367"/>
        <v>0</v>
      </c>
      <c r="R787" s="306">
        <f t="shared" ca="1" si="368"/>
        <v>0</v>
      </c>
      <c r="S787" s="307">
        <f t="shared" ca="1" si="369"/>
        <v>4.9929999999999914</v>
      </c>
      <c r="T787" s="304">
        <f t="shared" ca="1" si="349"/>
        <v>48.981329999999922</v>
      </c>
      <c r="U787" s="311">
        <f t="shared" ca="1" si="350"/>
        <v>0</v>
      </c>
      <c r="V787" s="306">
        <f t="shared" ca="1" si="351"/>
        <v>1.2040031415006931</v>
      </c>
      <c r="W787" s="304">
        <f t="shared" ca="1" si="352"/>
        <v>48.66787045008946</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6.4232690470513276E-2</v>
      </c>
      <c r="AH787" s="304">
        <f t="shared" ca="1" si="376"/>
        <v>-9.7352354101348606</v>
      </c>
    </row>
    <row r="788" spans="1:34" x14ac:dyDescent="0.2">
      <c r="A788" s="347">
        <f t="shared" ca="1" si="354"/>
        <v>0.1</v>
      </c>
      <c r="B788" s="304">
        <f t="shared" ca="1" si="355"/>
        <v>42.40000000000029</v>
      </c>
      <c r="D788" s="306">
        <f t="shared" ca="1" si="356"/>
        <v>-0.44757755255243425</v>
      </c>
      <c r="E788" s="307">
        <f t="shared" ca="1" si="357"/>
        <v>-7.306126503245558E-2</v>
      </c>
      <c r="F788" s="304">
        <f t="shared" ca="1" si="358"/>
        <v>0.453501503853041</v>
      </c>
      <c r="G788" s="306">
        <f t="shared" ca="1" si="359"/>
        <v>5.0805939460427547</v>
      </c>
      <c r="H788" s="307">
        <f t="shared" ca="1" si="360"/>
        <v>-111.50806219905878</v>
      </c>
      <c r="I788" s="304">
        <f t="shared" ca="1" si="361"/>
        <v>111.6237446524427</v>
      </c>
      <c r="J788" s="306">
        <f t="shared" ca="1" si="362"/>
        <v>921.0712164478773</v>
      </c>
      <c r="K788" s="307">
        <f t="shared" ca="1" si="363"/>
        <v>161.73413169618982</v>
      </c>
      <c r="L788" s="304">
        <f t="shared" ca="1" si="348"/>
        <v>935.163148934074</v>
      </c>
      <c r="M788" s="306">
        <f t="shared" ca="1" si="364"/>
        <v>-1.5252652455815969</v>
      </c>
      <c r="N788" s="304">
        <f t="shared" ca="1" si="365"/>
        <v>-87.391261209810537</v>
      </c>
      <c r="P788" s="310">
        <f t="shared" ca="1" si="366"/>
        <v>23</v>
      </c>
      <c r="Q788" s="304">
        <f t="shared" ca="1" si="367"/>
        <v>0</v>
      </c>
      <c r="R788" s="306">
        <f t="shared" ca="1" si="368"/>
        <v>0</v>
      </c>
      <c r="S788" s="307">
        <f t="shared" ca="1" si="369"/>
        <v>4.9929999999999914</v>
      </c>
      <c r="T788" s="304">
        <f t="shared" ca="1" si="349"/>
        <v>48.981329999999922</v>
      </c>
      <c r="U788" s="311">
        <f t="shared" ca="1" si="350"/>
        <v>0</v>
      </c>
      <c r="V788" s="306">
        <f t="shared" ca="1" si="351"/>
        <v>1.2053465009474198</v>
      </c>
      <c r="W788" s="304">
        <f t="shared" ca="1" si="352"/>
        <v>48.726756773694639</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5.243211762680744E-2</v>
      </c>
      <c r="AH788" s="304">
        <f t="shared" ca="1" si="376"/>
        <v>-9.7472201982955227</v>
      </c>
    </row>
    <row r="789" spans="1:34" x14ac:dyDescent="0.2">
      <c r="A789" s="347">
        <f t="shared" ca="1" si="354"/>
        <v>0.1</v>
      </c>
      <c r="B789" s="304">
        <f t="shared" ca="1" si="355"/>
        <v>42.500000000000291</v>
      </c>
      <c r="D789" s="306">
        <f t="shared" ca="1" si="356"/>
        <v>-0.44418494892435301</v>
      </c>
      <c r="E789" s="307">
        <f t="shared" ca="1" si="357"/>
        <v>-6.109988348482176E-2</v>
      </c>
      <c r="F789" s="304">
        <f t="shared" ca="1" si="358"/>
        <v>0.44836755526330052</v>
      </c>
      <c r="G789" s="306">
        <f t="shared" ca="1" si="359"/>
        <v>5.0361754511503198</v>
      </c>
      <c r="H789" s="307">
        <f t="shared" ca="1" si="360"/>
        <v>-111.51417218740727</v>
      </c>
      <c r="I789" s="304">
        <f t="shared" ca="1" si="361"/>
        <v>111.62783551524004</v>
      </c>
      <c r="J789" s="306">
        <f t="shared" ca="1" si="362"/>
        <v>921.57705491773697</v>
      </c>
      <c r="K789" s="307">
        <f t="shared" ca="1" si="363"/>
        <v>150.58301997686652</v>
      </c>
      <c r="L789" s="304">
        <f t="shared" ca="1" si="348"/>
        <v>933.79843331213772</v>
      </c>
      <c r="M789" s="306">
        <f t="shared" ca="1" si="364"/>
        <v>-1.5256652404445614</v>
      </c>
      <c r="N789" s="304">
        <f t="shared" ca="1" si="365"/>
        <v>-87.414179227285317</v>
      </c>
      <c r="P789" s="310">
        <f t="shared" ca="1" si="366"/>
        <v>23</v>
      </c>
      <c r="Q789" s="304">
        <f t="shared" ca="1" si="367"/>
        <v>0</v>
      </c>
      <c r="R789" s="306">
        <f t="shared" ca="1" si="368"/>
        <v>0</v>
      </c>
      <c r="S789" s="307">
        <f t="shared" ca="1" si="369"/>
        <v>4.9929999999999914</v>
      </c>
      <c r="T789" s="304">
        <f t="shared" ca="1" si="349"/>
        <v>48.981329999999922</v>
      </c>
      <c r="U789" s="311">
        <f t="shared" ca="1" si="350"/>
        <v>0</v>
      </c>
      <c r="V789" s="306">
        <f t="shared" ca="1" si="351"/>
        <v>1.2066914280555765</v>
      </c>
      <c r="W789" s="304">
        <f t="shared" ca="1" si="352"/>
        <v>48.784701742025085</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4.0819327999964017E-2</v>
      </c>
      <c r="AH789" s="304">
        <f t="shared" ca="1" si="376"/>
        <v>-9.7590139743029685</v>
      </c>
    </row>
    <row r="790" spans="1:34" x14ac:dyDescent="0.2">
      <c r="A790" s="347">
        <f t="shared" ca="1" si="354"/>
        <v>0.1</v>
      </c>
      <c r="B790" s="304">
        <f t="shared" ca="1" si="355"/>
        <v>42.600000000000293</v>
      </c>
      <c r="D790" s="306">
        <f t="shared" ca="1" si="356"/>
        <v>-0.44080898288085213</v>
      </c>
      <c r="E790" s="307">
        <f t="shared" ca="1" si="357"/>
        <v>-4.932956753853901E-2</v>
      </c>
      <c r="F790" s="304">
        <f t="shared" ca="1" si="358"/>
        <v>0.44356055462810334</v>
      </c>
      <c r="G790" s="306">
        <f t="shared" ca="1" si="359"/>
        <v>4.9920945528622349</v>
      </c>
      <c r="H790" s="307">
        <f t="shared" ca="1" si="360"/>
        <v>-111.51910514416112</v>
      </c>
      <c r="I790" s="304">
        <f t="shared" ca="1" si="361"/>
        <v>111.63078347919618</v>
      </c>
      <c r="J790" s="306">
        <f t="shared" ca="1" si="362"/>
        <v>922.07846841793764</v>
      </c>
      <c r="K790" s="307">
        <f t="shared" ca="1" si="363"/>
        <v>139.43135611028811</v>
      </c>
      <c r="L790" s="304">
        <f t="shared" ca="1" si="348"/>
        <v>932.5608854046601</v>
      </c>
      <c r="M790" s="306">
        <f t="shared" ca="1" si="364"/>
        <v>-1.5260617132408638</v>
      </c>
      <c r="N790" s="304">
        <f t="shared" ca="1" si="365"/>
        <v>-87.436895445205195</v>
      </c>
      <c r="P790" s="310">
        <f t="shared" ca="1" si="366"/>
        <v>23</v>
      </c>
      <c r="Q790" s="304">
        <f t="shared" ca="1" si="367"/>
        <v>0</v>
      </c>
      <c r="R790" s="306">
        <f t="shared" ca="1" si="368"/>
        <v>0</v>
      </c>
      <c r="S790" s="307">
        <f t="shared" ca="1" si="369"/>
        <v>4.9929999999999914</v>
      </c>
      <c r="T790" s="304">
        <f t="shared" ca="1" si="349"/>
        <v>48.981329999999922</v>
      </c>
      <c r="U790" s="311">
        <f t="shared" ca="1" si="350"/>
        <v>0</v>
      </c>
      <c r="V790" s="306">
        <f t="shared" ca="1" si="351"/>
        <v>1.2080379112284834</v>
      </c>
      <c r="W790" s="304">
        <f t="shared" ca="1" si="352"/>
        <v>48.841717617743832</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2.9391902969793549E-2</v>
      </c>
      <c r="AH790" s="304">
        <f t="shared" ca="1" si="376"/>
        <v>-9.7706192153064624</v>
      </c>
    </row>
    <row r="791" spans="1:34" x14ac:dyDescent="0.2">
      <c r="A791" s="347">
        <f t="shared" ca="1" si="354"/>
        <v>0.1</v>
      </c>
      <c r="B791" s="304">
        <f t="shared" ca="1" si="355"/>
        <v>42.700000000000294</v>
      </c>
      <c r="D791" s="306">
        <f t="shared" ca="1" si="356"/>
        <v>-0.43744976947325898</v>
      </c>
      <c r="E791" s="307">
        <f t="shared" ca="1" si="357"/>
        <v>-3.77478279719341E-2</v>
      </c>
      <c r="F791" s="304">
        <f t="shared" ca="1" si="358"/>
        <v>0.43907539139515228</v>
      </c>
      <c r="G791" s="306">
        <f t="shared" ca="1" si="359"/>
        <v>4.948349575914909</v>
      </c>
      <c r="H791" s="307">
        <f t="shared" ca="1" si="360"/>
        <v>-111.52287992695831</v>
      </c>
      <c r="I791" s="304">
        <f t="shared" ca="1" si="361"/>
        <v>111.63260684373638</v>
      </c>
      <c r="J791" s="306">
        <f t="shared" ca="1" si="362"/>
        <v>922.57549062437647</v>
      </c>
      <c r="K791" s="307">
        <f t="shared" ca="1" si="363"/>
        <v>128.27925685673213</v>
      </c>
      <c r="L791" s="304">
        <f t="shared" ca="1" si="348"/>
        <v>931.45107420654381</v>
      </c>
      <c r="M791" s="306">
        <f t="shared" ca="1" si="364"/>
        <v>-1.5264546989718248</v>
      </c>
      <c r="N791" s="304">
        <f t="shared" ca="1" si="365"/>
        <v>-87.459411868998131</v>
      </c>
      <c r="P791" s="310">
        <f t="shared" ca="1" si="366"/>
        <v>23</v>
      </c>
      <c r="Q791" s="304">
        <f t="shared" ca="1" si="367"/>
        <v>0</v>
      </c>
      <c r="R791" s="306">
        <f t="shared" ca="1" si="368"/>
        <v>0</v>
      </c>
      <c r="S791" s="307">
        <f t="shared" ca="1" si="369"/>
        <v>4.9929999999999914</v>
      </c>
      <c r="T791" s="304">
        <f t="shared" ca="1" si="349"/>
        <v>48.981329999999922</v>
      </c>
      <c r="U791" s="311">
        <f t="shared" ca="1" si="350"/>
        <v>0</v>
      </c>
      <c r="V791" s="306">
        <f t="shared" ca="1" si="351"/>
        <v>1.2093859390418618</v>
      </c>
      <c r="W791" s="304">
        <f t="shared" ca="1" si="352"/>
        <v>48.897816557051129</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1.8147443940543795E-2</v>
      </c>
      <c r="AH791" s="304">
        <f t="shared" ca="1" si="376"/>
        <v>-9.7820383772769706</v>
      </c>
    </row>
    <row r="792" spans="1:34" x14ac:dyDescent="0.2">
      <c r="A792" s="347">
        <f t="shared" ca="1" si="354"/>
        <v>0.1</v>
      </c>
      <c r="B792" s="304">
        <f t="shared" ca="1" si="355"/>
        <v>42.800000000000296</v>
      </c>
      <c r="D792" s="306">
        <f t="shared" ca="1" si="356"/>
        <v>-0.43410741802616359</v>
      </c>
      <c r="E792" s="307">
        <f t="shared" ca="1" si="357"/>
        <v>-2.6352197190417925E-2</v>
      </c>
      <c r="F792" s="304">
        <f t="shared" ca="1" si="358"/>
        <v>0.43490652867266205</v>
      </c>
      <c r="G792" s="306">
        <f t="shared" ca="1" si="359"/>
        <v>4.9049388341122926</v>
      </c>
      <c r="H792" s="307">
        <f t="shared" ca="1" si="360"/>
        <v>-111.52551514667735</v>
      </c>
      <c r="I792" s="304">
        <f t="shared" ca="1" si="361"/>
        <v>111.63332367039038</v>
      </c>
      <c r="J792" s="306">
        <f t="shared" ca="1" si="362"/>
        <v>923.06815504487781</v>
      </c>
      <c r="K792" s="307">
        <f t="shared" ca="1" si="363"/>
        <v>117.12683710305035</v>
      </c>
      <c r="L792" s="304">
        <f t="shared" ca="1" si="348"/>
        <v>930.46951311030023</v>
      </c>
      <c r="M792" s="306">
        <f t="shared" ca="1" si="364"/>
        <v>-1.5268442321635622</v>
      </c>
      <c r="N792" s="304">
        <f t="shared" ca="1" si="365"/>
        <v>-87.481730476864939</v>
      </c>
      <c r="P792" s="310">
        <f t="shared" ca="1" si="366"/>
        <v>23</v>
      </c>
      <c r="Q792" s="304">
        <f t="shared" ca="1" si="367"/>
        <v>0</v>
      </c>
      <c r="R792" s="306">
        <f t="shared" ca="1" si="368"/>
        <v>0</v>
      </c>
      <c r="S792" s="307">
        <f t="shared" ca="1" si="369"/>
        <v>4.9929999999999914</v>
      </c>
      <c r="T792" s="304">
        <f t="shared" ca="1" si="349"/>
        <v>48.981329999999922</v>
      </c>
      <c r="U792" s="311">
        <f t="shared" ca="1" si="350"/>
        <v>0</v>
      </c>
      <c r="V792" s="306">
        <f t="shared" ca="1" si="351"/>
        <v>1.2107355002418532</v>
      </c>
      <c r="W792" s="304">
        <f t="shared" ca="1" si="352"/>
        <v>48.953010609031544</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7.0835725111599857E-3</v>
      </c>
      <c r="AH792" s="304">
        <f t="shared" ca="1" si="376"/>
        <v>-9.7932738948630504</v>
      </c>
    </row>
    <row r="793" spans="1:34" x14ac:dyDescent="0.2">
      <c r="A793" s="347">
        <f t="shared" ca="1" si="354"/>
        <v>0.1</v>
      </c>
      <c r="B793" s="304">
        <f t="shared" ca="1" si="355"/>
        <v>42.900000000000297</v>
      </c>
      <c r="D793" s="306">
        <f t="shared" ca="1" si="356"/>
        <v>-0.43078203225977557</v>
      </c>
      <c r="E793" s="307">
        <f t="shared" ca="1" si="357"/>
        <v>-1.5140229358415525E-2</v>
      </c>
      <c r="F793" s="304">
        <f t="shared" ca="1" si="358"/>
        <v>0.43104800876803473</v>
      </c>
      <c r="G793" s="306">
        <f t="shared" ca="1" si="359"/>
        <v>4.8618606308863148</v>
      </c>
      <c r="H793" s="307">
        <f t="shared" ca="1" si="360"/>
        <v>-111.52702916961319</v>
      </c>
      <c r="I793" s="304">
        <f t="shared" ca="1" si="361"/>
        <v>111.6329517848288</v>
      </c>
      <c r="J793" s="306">
        <f t="shared" ca="1" si="362"/>
        <v>923.55649501812775</v>
      </c>
      <c r="K793" s="307">
        <f t="shared" ca="1" si="363"/>
        <v>105.97420988723582</v>
      </c>
      <c r="L793" s="304">
        <f t="shared" ca="1" si="348"/>
        <v>929.61665897906153</v>
      </c>
      <c r="M793" s="306">
        <f t="shared" ca="1" si="364"/>
        <v>-1.5272303468762327</v>
      </c>
      <c r="N793" s="304">
        <f t="shared" ca="1" si="365"/>
        <v>-87.503853220308869</v>
      </c>
      <c r="P793" s="310">
        <f t="shared" ca="1" si="366"/>
        <v>23</v>
      </c>
      <c r="Q793" s="304">
        <f t="shared" ca="1" si="367"/>
        <v>0</v>
      </c>
      <c r="R793" s="306">
        <f t="shared" ca="1" si="368"/>
        <v>0</v>
      </c>
      <c r="S793" s="307">
        <f t="shared" ca="1" si="369"/>
        <v>4.9929999999999914</v>
      </c>
      <c r="T793" s="304">
        <f t="shared" ca="1" si="349"/>
        <v>48.981329999999922</v>
      </c>
      <c r="U793" s="311">
        <f t="shared" ca="1" si="350"/>
        <v>0</v>
      </c>
      <c r="V793" s="306">
        <f t="shared" ca="1" si="351"/>
        <v>1.2120865837430523</v>
      </c>
      <c r="W793" s="304">
        <f t="shared" ca="1" si="352"/>
        <v>49.007311715065292</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-3.8020693685130169E-3</v>
      </c>
      <c r="AH793" s="304">
        <f t="shared" ca="1" si="376"/>
        <v>-9.8043281812600895</v>
      </c>
    </row>
    <row r="794" spans="1:34" x14ac:dyDescent="0.2">
      <c r="A794" s="347">
        <f t="shared" ca="1" si="354"/>
        <v>0.1</v>
      </c>
      <c r="B794" s="304">
        <f t="shared" ca="1" si="355"/>
        <v>43.000000000000298</v>
      </c>
      <c r="D794" s="306">
        <f t="shared" ca="1" si="356"/>
        <v>-0.42747371041065846</v>
      </c>
      <c r="E794" s="307">
        <f t="shared" ca="1" si="357"/>
        <v>-4.1095005182700817E-3</v>
      </c>
      <c r="F794" s="304">
        <f t="shared" ca="1" si="358"/>
        <v>0.42749346320939829</v>
      </c>
      <c r="G794" s="306">
        <f t="shared" ca="1" si="359"/>
        <v>4.8191132598452491</v>
      </c>
      <c r="H794" s="307">
        <f t="shared" ca="1" si="360"/>
        <v>-111.52744011966502</v>
      </c>
      <c r="I794" s="304">
        <f t="shared" ca="1" si="361"/>
        <v>111.63150877891368</v>
      </c>
      <c r="J794" s="306">
        <f t="shared" ca="1" si="362"/>
        <v>924.04054371266432</v>
      </c>
      <c r="K794" s="307">
        <f t="shared" ca="1" si="363"/>
        <v>94.821486422771898</v>
      </c>
      <c r="L794" s="304">
        <f t="shared" ca="1" si="348"/>
        <v>928.89291132628432</v>
      </c>
      <c r="M794" s="306">
        <f t="shared" ca="1" si="364"/>
        <v>-1.5276130767130538</v>
      </c>
      <c r="N794" s="304">
        <f t="shared" ca="1" si="365"/>
        <v>-87.525782024652443</v>
      </c>
      <c r="P794" s="310">
        <f t="shared" ca="1" si="366"/>
        <v>23</v>
      </c>
      <c r="Q794" s="304">
        <f t="shared" ca="1" si="367"/>
        <v>0</v>
      </c>
      <c r="R794" s="306">
        <f t="shared" ca="1" si="368"/>
        <v>0</v>
      </c>
      <c r="S794" s="307">
        <f t="shared" ca="1" si="369"/>
        <v>4.9929999999999914</v>
      </c>
      <c r="T794" s="304">
        <f t="shared" ca="1" si="349"/>
        <v>48.981329999999922</v>
      </c>
      <c r="U794" s="311">
        <f t="shared" ca="1" si="350"/>
        <v>0</v>
      </c>
      <c r="V794" s="306">
        <f t="shared" ca="1" si="351"/>
        <v>1.2134391786265557</v>
      </c>
      <c r="W794" s="304">
        <f t="shared" ca="1" si="352"/>
        <v>49.060731708301951</v>
      </c>
      <c r="Y794" s="314" t="str">
        <f t="shared" ca="1" si="370"/>
        <v/>
      </c>
      <c r="Z794" s="315" t="str">
        <f t="shared" ca="1" si="371"/>
        <v/>
      </c>
      <c r="AA794" s="316" t="str">
        <f t="shared" ca="1" si="372"/>
        <v/>
      </c>
      <c r="AC794" s="310">
        <f t="shared" ca="1" si="373"/>
        <v>43.000000000000298</v>
      </c>
      <c r="AD794" s="323">
        <f t="shared" ca="1" si="374"/>
        <v>924.04054371266432</v>
      </c>
      <c r="AE794" s="324" t="e">
        <f t="shared" ca="1" si="353"/>
        <v>#N/A</v>
      </c>
      <c r="AG794" s="306">
        <f t="shared" ca="1" si="375"/>
        <v>-1.4511819255064395E-2</v>
      </c>
      <c r="AH794" s="304">
        <f t="shared" ca="1" si="376"/>
        <v>-9.8152036280924051</v>
      </c>
    </row>
    <row r="795" spans="1:34" x14ac:dyDescent="0.2">
      <c r="A795" s="347">
        <f t="shared" ca="1" si="354"/>
        <v>0.1</v>
      </c>
      <c r="B795" s="304">
        <f t="shared" ca="1" si="355"/>
        <v>43.1000000000003</v>
      </c>
      <c r="D795" s="306">
        <f t="shared" ca="1" si="356"/>
        <v>-0.42418254535077449</v>
      </c>
      <c r="E795" s="307">
        <f t="shared" ca="1" si="357"/>
        <v>6.7423913034971861E-3</v>
      </c>
      <c r="F795" s="304">
        <f t="shared" ca="1" si="358"/>
        <v>0.42423612719893544</v>
      </c>
      <c r="G795" s="306">
        <f t="shared" ca="1" si="359"/>
        <v>4.776695005310172</v>
      </c>
      <c r="H795" s="307">
        <f t="shared" ca="1" si="360"/>
        <v>-111.52676588053467</v>
      </c>
      <c r="I795" s="304">
        <f t="shared" ca="1" si="361"/>
        <v>111.62901201276193</v>
      </c>
      <c r="J795" s="306">
        <f t="shared" ca="1" si="362"/>
        <v>924.52033412592209</v>
      </c>
      <c r="K795" s="307">
        <f t="shared" ca="1" si="363"/>
        <v>83.668776122761912</v>
      </c>
      <c r="L795" s="304">
        <f t="shared" ca="1" si="348"/>
        <v>928.29861160630173</v>
      </c>
      <c r="M795" s="306">
        <f t="shared" ca="1" si="364"/>
        <v>-1.5279924548291057</v>
      </c>
      <c r="N795" s="304">
        <f t="shared" ca="1" si="365"/>
        <v>-87.54751878954184</v>
      </c>
      <c r="P795" s="310">
        <f t="shared" ca="1" si="366"/>
        <v>23</v>
      </c>
      <c r="Q795" s="304">
        <f t="shared" ca="1" si="367"/>
        <v>0</v>
      </c>
      <c r="R795" s="306">
        <f t="shared" ca="1" si="368"/>
        <v>0</v>
      </c>
      <c r="S795" s="307">
        <f t="shared" ca="1" si="369"/>
        <v>4.9929999999999914</v>
      </c>
      <c r="T795" s="304">
        <f t="shared" ca="1" si="349"/>
        <v>48.981329999999922</v>
      </c>
      <c r="U795" s="311">
        <f t="shared" ca="1" si="350"/>
        <v>0</v>
      </c>
      <c r="V795" s="306">
        <f t="shared" ca="1" si="351"/>
        <v>1.2147932741380165</v>
      </c>
      <c r="W795" s="304">
        <f t="shared" ca="1" si="352"/>
        <v>49.11328231319419</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-2.5047994081999647E-2</v>
      </c>
      <c r="AH795" s="304">
        <f t="shared" ca="1" si="376"/>
        <v>-9.8259026053078387</v>
      </c>
    </row>
    <row r="796" spans="1:34" x14ac:dyDescent="0.2">
      <c r="A796" s="347">
        <f t="shared" ca="1" si="354"/>
        <v>0.1</v>
      </c>
      <c r="B796" s="304">
        <f t="shared" ca="1" si="355"/>
        <v>43.200000000000301</v>
      </c>
      <c r="D796" s="306">
        <f t="shared" ca="1" si="356"/>
        <v>-0.42090862470489221</v>
      </c>
      <c r="E796" s="307">
        <f t="shared" ca="1" si="357"/>
        <v>1.7417826002096959E-2</v>
      </c>
      <c r="F796" s="304">
        <f t="shared" ca="1" si="358"/>
        <v>0.42126885834773392</v>
      </c>
      <c r="G796" s="306">
        <f t="shared" ca="1" si="359"/>
        <v>4.7346041428396823</v>
      </c>
      <c r="H796" s="307">
        <f t="shared" ca="1" si="360"/>
        <v>-111.52502409793446</v>
      </c>
      <c r="I796" s="304">
        <f t="shared" ca="1" si="361"/>
        <v>111.62547861682053</v>
      </c>
      <c r="J796" s="306">
        <f t="shared" ca="1" si="362"/>
        <v>924.99589908332962</v>
      </c>
      <c r="K796" s="307">
        <f t="shared" ca="1" si="363"/>
        <v>72.51618662383845</v>
      </c>
      <c r="L796" s="304">
        <f t="shared" ca="1" si="348"/>
        <v>927.8340426193904</v>
      </c>
      <c r="M796" s="306">
        <f t="shared" ca="1" si="364"/>
        <v>-1.5283685139399226</v>
      </c>
      <c r="N796" s="304">
        <f t="shared" ca="1" si="365"/>
        <v>-87.569065389439089</v>
      </c>
      <c r="P796" s="310">
        <f t="shared" ca="1" si="366"/>
        <v>23</v>
      </c>
      <c r="Q796" s="304">
        <f t="shared" ca="1" si="367"/>
        <v>0</v>
      </c>
      <c r="R796" s="306">
        <f t="shared" ca="1" si="368"/>
        <v>0</v>
      </c>
      <c r="S796" s="307">
        <f t="shared" ca="1" si="369"/>
        <v>4.9929999999999914</v>
      </c>
      <c r="T796" s="304">
        <f t="shared" ca="1" si="349"/>
        <v>48.981329999999922</v>
      </c>
      <c r="U796" s="311">
        <f t="shared" ca="1" si="350"/>
        <v>0</v>
      </c>
      <c r="V796" s="306">
        <f t="shared" ca="1" si="351"/>
        <v>1.2161488596857231</v>
      </c>
      <c r="W796" s="304">
        <f t="shared" ca="1" si="352"/>
        <v>49.164975145090345</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-3.541289004288295E-2</v>
      </c>
      <c r="AH796" s="304">
        <f t="shared" ca="1" si="376"/>
        <v>-9.8364274610843729</v>
      </c>
    </row>
    <row r="797" spans="1:34" x14ac:dyDescent="0.2">
      <c r="A797" s="347">
        <f t="shared" ca="1" si="354"/>
        <v>0.1</v>
      </c>
      <c r="B797" s="304">
        <f t="shared" ca="1" si="355"/>
        <v>43.300000000000303</v>
      </c>
      <c r="D797" s="306">
        <f t="shared" ca="1" si="356"/>
        <v>-0.41765203096632969</v>
      </c>
      <c r="E797" s="307">
        <f t="shared" ca="1" si="357"/>
        <v>2.791916131231531E-2</v>
      </c>
      <c r="F797" s="304">
        <f t="shared" ca="1" si="358"/>
        <v>0.41858415944548488</v>
      </c>
      <c r="G797" s="306">
        <f t="shared" ca="1" si="359"/>
        <v>4.6928389397430497</v>
      </c>
      <c r="H797" s="307">
        <f t="shared" ca="1" si="360"/>
        <v>-111.52223218180323</v>
      </c>
      <c r="I797" s="304">
        <f t="shared" ca="1" si="361"/>
        <v>111.62092549395206</v>
      </c>
      <c r="J797" s="306">
        <f t="shared" ca="1" si="362"/>
        <v>925.4672712374587</v>
      </c>
      <c r="K797" s="307">
        <f t="shared" ca="1" si="363"/>
        <v>61.363823809851567</v>
      </c>
      <c r="L797" s="304">
        <f t="shared" ca="1" si="348"/>
        <v>927.49942803447288</v>
      </c>
      <c r="M797" s="306">
        <f t="shared" ca="1" si="364"/>
        <v>-1.5287412863298775</v>
      </c>
      <c r="N797" s="304">
        <f t="shared" ca="1" si="365"/>
        <v>-87.59042367410251</v>
      </c>
      <c r="P797" s="310">
        <f t="shared" ca="1" si="366"/>
        <v>23</v>
      </c>
      <c r="Q797" s="304">
        <f t="shared" ca="1" si="367"/>
        <v>0</v>
      </c>
      <c r="R797" s="306">
        <f t="shared" ca="1" si="368"/>
        <v>0</v>
      </c>
      <c r="S797" s="307">
        <f t="shared" ca="1" si="369"/>
        <v>4.9929999999999914</v>
      </c>
      <c r="T797" s="304">
        <f t="shared" ca="1" si="349"/>
        <v>48.981329999999922</v>
      </c>
      <c r="U797" s="311">
        <f t="shared" ca="1" si="350"/>
        <v>0</v>
      </c>
      <c r="V797" s="306">
        <f t="shared" ca="1" si="351"/>
        <v>1.2175059248386844</v>
      </c>
      <c r="W797" s="304">
        <f t="shared" ca="1" si="352"/>
        <v>49.215821709883272</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-4.5608782486880273E-2</v>
      </c>
      <c r="AH797" s="304">
        <f t="shared" ca="1" si="376"/>
        <v>-9.8467805217485331</v>
      </c>
    </row>
    <row r="798" spans="1:34" x14ac:dyDescent="0.2">
      <c r="A798" s="347">
        <f t="shared" ca="1" si="354"/>
        <v>0.1</v>
      </c>
      <c r="B798" s="304">
        <f t="shared" ca="1" si="355"/>
        <v>43.400000000000304</v>
      </c>
      <c r="D798" s="306">
        <f t="shared" ca="1" si="356"/>
        <v>-0.41441284161103609</v>
      </c>
      <c r="E798" s="307">
        <f t="shared" ca="1" si="357"/>
        <v>3.8248732737756086E-2</v>
      </c>
      <c r="F798" s="304">
        <f t="shared" ca="1" si="358"/>
        <v>0.41617420492887108</v>
      </c>
      <c r="G798" s="306">
        <f t="shared" ca="1" si="359"/>
        <v>4.6513976555819463</v>
      </c>
      <c r="H798" s="307">
        <f t="shared" ca="1" si="360"/>
        <v>-111.51840730852946</v>
      </c>
      <c r="I798" s="304">
        <f t="shared" ca="1" si="361"/>
        <v>111.6153693215295</v>
      </c>
      <c r="J798" s="306">
        <f t="shared" ca="1" si="362"/>
        <v>925.93448306722496</v>
      </c>
      <c r="K798" s="307">
        <f t="shared" ca="1" si="363"/>
        <v>50.211791835334935</v>
      </c>
      <c r="L798" s="304">
        <f t="shared" ca="1" si="348"/>
        <v>927.29493203202833</v>
      </c>
      <c r="M798" s="306">
        <f t="shared" ca="1" si="364"/>
        <v>-1.5291108038603671</v>
      </c>
      <c r="N798" s="304">
        <f t="shared" ca="1" si="365"/>
        <v>-87.611595469055672</v>
      </c>
      <c r="P798" s="310">
        <f t="shared" ca="1" si="366"/>
        <v>23</v>
      </c>
      <c r="Q798" s="304">
        <f t="shared" ca="1" si="367"/>
        <v>0</v>
      </c>
      <c r="R798" s="306">
        <f t="shared" ca="1" si="368"/>
        <v>0</v>
      </c>
      <c r="S798" s="307">
        <f t="shared" ca="1" si="369"/>
        <v>4.9929999999999914</v>
      </c>
      <c r="T798" s="304">
        <f t="shared" ca="1" si="349"/>
        <v>48.981329999999922</v>
      </c>
      <c r="U798" s="311">
        <f t="shared" ca="1" si="350"/>
        <v>0</v>
      </c>
      <c r="V798" s="306">
        <f t="shared" ca="1" si="351"/>
        <v>1.2188644593247306</v>
      </c>
      <c r="W798" s="304">
        <f t="shared" ca="1" si="352"/>
        <v>49.265833403713764</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-5.5637925826173884E-2</v>
      </c>
      <c r="AH798" s="304">
        <f t="shared" ca="1" si="376"/>
        <v>-9.8569640917050592</v>
      </c>
    </row>
    <row r="799" spans="1:34" x14ac:dyDescent="0.2">
      <c r="A799" s="347">
        <f t="shared" ca="1" si="354"/>
        <v>0.1</v>
      </c>
      <c r="B799" s="304">
        <f t="shared" ca="1" si="355"/>
        <v>43.500000000000306</v>
      </c>
      <c r="D799" s="306">
        <f t="shared" ca="1" si="356"/>
        <v>-0.41119112921001916</v>
      </c>
      <c r="E799" s="307">
        <f t="shared" ca="1" si="357"/>
        <v>4.8408853491146431E-2</v>
      </c>
      <c r="F799" s="304">
        <f t="shared" ca="1" si="358"/>
        <v>0.41403087063326327</v>
      </c>
      <c r="G799" s="306">
        <f t="shared" ca="1" si="359"/>
        <v>4.6102785426609447</v>
      </c>
      <c r="H799" s="307">
        <f t="shared" ca="1" si="360"/>
        <v>-111.51356642318035</v>
      </c>
      <c r="I799" s="304">
        <f t="shared" ca="1" si="361"/>
        <v>111.6088265535391</v>
      </c>
      <c r="J799" s="306">
        <f t="shared" ca="1" si="362"/>
        <v>926.39756687713714</v>
      </c>
      <c r="K799" s="307">
        <f t="shared" ca="1" si="363"/>
        <v>39.060193148749448</v>
      </c>
      <c r="L799" s="304">
        <f t="shared" ca="1" si="348"/>
        <v>927.22065906918692</v>
      </c>
      <c r="M799" s="306">
        <f t="shared" ca="1" si="364"/>
        <v>-1.5294770979778025</v>
      </c>
      <c r="N799" s="304">
        <f t="shared" ca="1" si="365"/>
        <v>-87.632582576045181</v>
      </c>
      <c r="P799" s="310">
        <f t="shared" ca="1" si="366"/>
        <v>23</v>
      </c>
      <c r="Q799" s="304">
        <f t="shared" ca="1" si="367"/>
        <v>0</v>
      </c>
      <c r="R799" s="306">
        <f t="shared" ca="1" si="368"/>
        <v>0</v>
      </c>
      <c r="S799" s="307">
        <f t="shared" ca="1" si="369"/>
        <v>4.9929999999999914</v>
      </c>
      <c r="T799" s="304">
        <f t="shared" ca="1" si="349"/>
        <v>48.981329999999922</v>
      </c>
      <c r="U799" s="311">
        <f t="shared" ca="1" si="350"/>
        <v>0</v>
      </c>
      <c r="V799" s="306">
        <f t="shared" ca="1" si="351"/>
        <v>1.2202244530286328</v>
      </c>
      <c r="W799" s="304">
        <f t="shared" ca="1" si="352"/>
        <v>49.315021512727114</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-6.5502553454864554E-2</v>
      </c>
      <c r="AH799" s="304">
        <f t="shared" ca="1" si="376"/>
        <v>-9.866980453377499</v>
      </c>
    </row>
    <row r="800" spans="1:34" x14ac:dyDescent="0.2">
      <c r="A800" s="347">
        <f t="shared" ca="1" si="354"/>
        <v>0.1</v>
      </c>
      <c r="B800" s="304">
        <f t="shared" ca="1" si="355"/>
        <v>43.600000000000307</v>
      </c>
      <c r="D800" s="306">
        <f t="shared" ca="1" si="356"/>
        <v>-0.40798696154010539</v>
      </c>
      <c r="E800" s="307">
        <f t="shared" ca="1" si="357"/>
        <v>5.8401814445435463E-2</v>
      </c>
      <c r="F800" s="304">
        <f t="shared" ca="1" si="358"/>
        <v>0.412145766346382</v>
      </c>
      <c r="G800" s="306">
        <f t="shared" ca="1" si="359"/>
        <v>4.5694798465069342</v>
      </c>
      <c r="H800" s="307">
        <f t="shared" ca="1" si="360"/>
        <v>-111.50772624173581</v>
      </c>
      <c r="I800" s="304">
        <f t="shared" ca="1" si="361"/>
        <v>111.6013134226902</v>
      </c>
      <c r="J800" s="306">
        <f t="shared" ca="1" si="362"/>
        <v>926.85655479659556</v>
      </c>
      <c r="K800" s="307">
        <f t="shared" ca="1" si="363"/>
        <v>27.909128515503639</v>
      </c>
      <c r="L800" s="304">
        <f t="shared" ca="1" si="348"/>
        <v>927.27665376839366</v>
      </c>
      <c r="M800" s="306">
        <f t="shared" ca="1" si="364"/>
        <v>-1.5298401997214077</v>
      </c>
      <c r="N800" s="304">
        <f t="shared" ca="1" si="365"/>
        <v>-87.653386773487597</v>
      </c>
      <c r="P800" s="310">
        <f t="shared" ca="1" si="366"/>
        <v>23</v>
      </c>
      <c r="Q800" s="304">
        <f t="shared" ca="1" si="367"/>
        <v>0</v>
      </c>
      <c r="R800" s="306">
        <f t="shared" ca="1" si="368"/>
        <v>0</v>
      </c>
      <c r="S800" s="307">
        <f t="shared" ca="1" si="369"/>
        <v>4.9929999999999914</v>
      </c>
      <c r="T800" s="304">
        <f t="shared" ca="1" si="349"/>
        <v>48.981329999999922</v>
      </c>
      <c r="U800" s="311">
        <f t="shared" ca="1" si="350"/>
        <v>0</v>
      </c>
      <c r="V800" s="306">
        <f t="shared" ca="1" si="351"/>
        <v>1.2215858959902295</v>
      </c>
      <c r="W800" s="304">
        <f t="shared" ca="1" si="352"/>
        <v>49.36339721288045</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-7.5204877679119875E-2</v>
      </c>
      <c r="AH800" s="304">
        <f t="shared" ca="1" si="376"/>
        <v>-9.8768318671594635</v>
      </c>
    </row>
    <row r="801" spans="1:34" x14ac:dyDescent="0.2">
      <c r="A801" s="347">
        <f t="shared" ca="1" si="354"/>
        <v>0.1</v>
      </c>
      <c r="B801" s="304">
        <f t="shared" ca="1" si="355"/>
        <v>43.700000000000308</v>
      </c>
      <c r="D801" s="306">
        <f t="shared" ca="1" si="356"/>
        <v>-0.40480040169306902</v>
      </c>
      <c r="E801" s="307">
        <f t="shared" ca="1" si="357"/>
        <v>6.8229884095156734E-2</v>
      </c>
      <c r="F801" s="304">
        <f t="shared" ca="1" si="358"/>
        <v>0.41051027063218354</v>
      </c>
      <c r="G801" s="306">
        <f t="shared" ca="1" si="359"/>
        <v>4.5289998063376276</v>
      </c>
      <c r="H801" s="307">
        <f t="shared" ca="1" si="360"/>
        <v>-111.5009032533263</v>
      </c>
      <c r="I801" s="304">
        <f t="shared" ca="1" si="361"/>
        <v>111.59284594253091</v>
      </c>
      <c r="J801" s="306">
        <f t="shared" ca="1" si="362"/>
        <v>927.31147877923775</v>
      </c>
      <c r="K801" s="307">
        <f t="shared" ca="1" si="363"/>
        <v>16.758697040750533</v>
      </c>
      <c r="L801" s="304">
        <f t="shared" ca="1" si="348"/>
        <v>927.46290093040398</v>
      </c>
      <c r="M801" s="306">
        <f t="shared" ca="1" si="364"/>
        <v>-1.5302001397308371</v>
      </c>
      <c r="N801" s="304">
        <f t="shared" ca="1" si="365"/>
        <v>-87.674009816905809</v>
      </c>
      <c r="P801" s="310">
        <f t="shared" ca="1" si="366"/>
        <v>23</v>
      </c>
      <c r="Q801" s="304">
        <f t="shared" ca="1" si="367"/>
        <v>0</v>
      </c>
      <c r="R801" s="306">
        <f t="shared" ca="1" si="368"/>
        <v>0</v>
      </c>
      <c r="S801" s="307">
        <f t="shared" ca="1" si="369"/>
        <v>4.9929999999999914</v>
      </c>
      <c r="T801" s="304">
        <f t="shared" ca="1" si="349"/>
        <v>48.981329999999922</v>
      </c>
      <c r="U801" s="311">
        <f t="shared" ca="1" si="350"/>
        <v>0</v>
      </c>
      <c r="V801" s="306">
        <f t="shared" ca="1" si="351"/>
        <v>1.2229487784025739</v>
      </c>
      <c r="W801" s="304">
        <f t="shared" ca="1" si="352"/>
        <v>49.410971569799642</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-8.4747089657991381E-2</v>
      </c>
      <c r="AH801" s="304">
        <f t="shared" ca="1" si="376"/>
        <v>-9.8865205713760336</v>
      </c>
    </row>
    <row r="802" spans="1:34" x14ac:dyDescent="0.2">
      <c r="A802" s="347">
        <f t="shared" ca="1" si="354"/>
        <v>0.1</v>
      </c>
      <c r="B802" s="304">
        <f t="shared" ca="1" si="355"/>
        <v>43.80000000000031</v>
      </c>
      <c r="D802" s="306">
        <f t="shared" ca="1" si="356"/>
        <v>-0.40163150818308302</v>
      </c>
      <c r="E802" s="307">
        <f t="shared" ca="1" si="357"/>
        <v>7.7895308527859086E-2</v>
      </c>
      <c r="F802" s="304">
        <f t="shared" ca="1" si="358"/>
        <v>0.40911556735972326</v>
      </c>
      <c r="G802" s="306">
        <f t="shared" ca="1" si="359"/>
        <v>4.4888366555193189</v>
      </c>
      <c r="H802" s="307">
        <f t="shared" ca="1" si="360"/>
        <v>-111.49311372247351</v>
      </c>
      <c r="I802" s="304">
        <f t="shared" ca="1" si="361"/>
        <v>111.58343990956877</v>
      </c>
      <c r="J802" s="306">
        <f t="shared" ca="1" si="362"/>
        <v>927.76237060233063</v>
      </c>
      <c r="K802" s="307">
        <f t="shared" ca="1" si="363"/>
        <v>5.6089961919605429</v>
      </c>
      <c r="L802" s="304">
        <f t="shared" ca="1" si="348"/>
        <v>927.77932567175571</v>
      </c>
      <c r="M802" s="306">
        <f t="shared" ca="1" si="364"/>
        <v>-1.5305569482536099</v>
      </c>
      <c r="N802" s="304">
        <f t="shared" ca="1" si="365"/>
        <v>-87.694453439354987</v>
      </c>
      <c r="P802" s="310">
        <f t="shared" ca="1" si="366"/>
        <v>23</v>
      </c>
      <c r="Q802" s="304">
        <f t="shared" ca="1" si="367"/>
        <v>0</v>
      </c>
      <c r="R802" s="306">
        <f t="shared" ca="1" si="368"/>
        <v>0</v>
      </c>
      <c r="S802" s="307">
        <f t="shared" ca="1" si="369"/>
        <v>4.9929999999999914</v>
      </c>
      <c r="T802" s="304">
        <f t="shared" ca="1" si="349"/>
        <v>48.981329999999922</v>
      </c>
      <c r="U802" s="311">
        <f t="shared" ca="1" si="350"/>
        <v>0</v>
      </c>
      <c r="V802" s="306">
        <f t="shared" ca="1" si="351"/>
        <v>1.2243130906100925</v>
      </c>
      <c r="W802" s="304">
        <f t="shared" ca="1" si="352"/>
        <v>49.457755538683756</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-9.4131359354728161E-2</v>
      </c>
      <c r="AH802" s="304">
        <f t="shared" ca="1" si="376"/>
        <v>-9.896048782255102</v>
      </c>
    </row>
    <row r="803" spans="1:34" x14ac:dyDescent="0.2">
      <c r="A803" s="347">
        <f t="shared" ca="1" si="354"/>
        <v>0.1</v>
      </c>
      <c r="B803" s="304">
        <f t="shared" ca="1" si="355"/>
        <v>43.900000000000311</v>
      </c>
      <c r="D803" s="306">
        <f t="shared" ca="1" si="356"/>
        <v>-0.39848033505255515</v>
      </c>
      <c r="E803" s="307">
        <f t="shared" ca="1" si="357"/>
        <v>8.7400311405174236E-2</v>
      </c>
      <c r="F803" s="304">
        <f t="shared" ca="1" si="358"/>
        <v>0.40795268335594759</v>
      </c>
      <c r="G803" s="306">
        <f t="shared" ca="1" si="359"/>
        <v>4.4489886220140633</v>
      </c>
      <c r="H803" s="307">
        <f t="shared" ca="1" si="360"/>
        <v>-111.48437369133299</v>
      </c>
      <c r="I803" s="304">
        <f t="shared" ca="1" si="361"/>
        <v>111.57311090539507</v>
      </c>
      <c r="J803" s="306">
        <f t="shared" ca="1" si="362"/>
        <v>928.20926186620727</v>
      </c>
      <c r="K803" s="307">
        <f t="shared" ca="1" si="363"/>
        <v>-5.5398781787297828</v>
      </c>
      <c r="L803" s="304">
        <f t="shared" ca="1" si="348"/>
        <v>928.2257936862369</v>
      </c>
      <c r="M803" s="306">
        <f t="shared" ca="1" si="364"/>
        <v>-1.5309106551523715</v>
      </c>
      <c r="N803" s="304">
        <f t="shared" ca="1" si="365"/>
        <v>-87.714719351838681</v>
      </c>
      <c r="P803" s="310">
        <f t="shared" ca="1" si="366"/>
        <v>23</v>
      </c>
      <c r="Q803" s="304">
        <f t="shared" ca="1" si="367"/>
        <v>0</v>
      </c>
      <c r="R803" s="306">
        <f t="shared" ca="1" si="368"/>
        <v>0</v>
      </c>
      <c r="S803" s="307">
        <f t="shared" ca="1" si="369"/>
        <v>4.9929999999999914</v>
      </c>
      <c r="T803" s="304">
        <f t="shared" ca="1" si="349"/>
        <v>48.981329999999922</v>
      </c>
      <c r="U803" s="311">
        <f t="shared" ca="1" si="350"/>
        <v>0</v>
      </c>
      <c r="V803" s="306">
        <f t="shared" ca="1" si="351"/>
        <v>1.2256788231067604</v>
      </c>
      <c r="W803" s="304">
        <f t="shared" ca="1" si="352"/>
        <v>49.503759964255487</v>
      </c>
      <c r="Y803" s="314" t="str">
        <f t="shared" ca="1" si="370"/>
        <v>Impact balistique</v>
      </c>
      <c r="Z803" s="315" t="str">
        <f t="shared" ca="1" si="371"/>
        <v/>
      </c>
      <c r="AA803" s="316" t="str">
        <f t="shared" ca="1" si="372"/>
        <v/>
      </c>
      <c r="AC803" s="310" t="e">
        <f t="shared" ca="1" si="373"/>
        <v>#N/A</v>
      </c>
      <c r="AD803" s="323" t="e">
        <f t="shared" ca="1" si="374"/>
        <v>#N/A</v>
      </c>
      <c r="AE803" s="324" t="e">
        <f t="shared" ca="1" si="353"/>
        <v>#N/A</v>
      </c>
      <c r="AG803" s="306">
        <f t="shared" ca="1" si="375"/>
        <v>-0.10335983549808958</v>
      </c>
      <c r="AH803" s="304">
        <f t="shared" ca="1" si="376"/>
        <v>-9.9054186939082403</v>
      </c>
    </row>
    <row r="804" spans="1:34" x14ac:dyDescent="0.2">
      <c r="A804" s="347">
        <f t="shared" ca="1" si="354"/>
        <v>1E-4</v>
      </c>
      <c r="B804" s="304">
        <f t="shared" ca="1" si="355"/>
        <v>43.900100000000315</v>
      </c>
      <c r="D804" s="306">
        <f t="shared" ca="1" si="356"/>
        <v>-0.39534693197630755</v>
      </c>
      <c r="E804" s="307">
        <f t="shared" ca="1" si="357"/>
        <v>9.6747093953181817E-2</v>
      </c>
      <c r="F804" s="304">
        <f t="shared" ca="1" si="358"/>
        <v>0.40701252660264026</v>
      </c>
      <c r="G804" s="306">
        <f t="shared" ca="1" si="359"/>
        <v>4.4489490873208659</v>
      </c>
      <c r="H804" s="307">
        <f t="shared" ca="1" si="360"/>
        <v>-111.4843640166236</v>
      </c>
      <c r="I804" s="304">
        <f t="shared" ca="1" si="361"/>
        <v>111.57309966193738</v>
      </c>
      <c r="J804" s="306">
        <f t="shared" ca="1" si="362"/>
        <v>928.20926186620727</v>
      </c>
      <c r="K804" s="307">
        <f t="shared" ca="1" si="363"/>
        <v>-5.5510266156151804</v>
      </c>
      <c r="L804" s="304">
        <f t="shared" ca="1" si="348"/>
        <v>928.22586028977696</v>
      </c>
      <c r="M804" s="306">
        <f t="shared" ca="1" si="364"/>
        <v>-1.5309110057518467</v>
      </c>
      <c r="N804" s="304">
        <f t="shared" ca="1" si="365"/>
        <v>-87.714739439708907</v>
      </c>
      <c r="P804" s="310">
        <f t="shared" ca="1" si="366"/>
        <v>23</v>
      </c>
      <c r="Q804" s="304">
        <f t="shared" ca="1" si="367"/>
        <v>0</v>
      </c>
      <c r="R804" s="306">
        <f t="shared" ca="1" si="368"/>
        <v>0</v>
      </c>
      <c r="S804" s="307">
        <f t="shared" ca="1" si="369"/>
        <v>4.9929999999999914</v>
      </c>
      <c r="T804" s="304">
        <f t="shared" ca="1" si="349"/>
        <v>48.981329999999922</v>
      </c>
      <c r="U804" s="311">
        <f t="shared" ca="1" si="350"/>
        <v>0</v>
      </c>
      <c r="V804" s="306">
        <f t="shared" ca="1" si="351"/>
        <v>1.2256801895479272</v>
      </c>
      <c r="W804" s="304">
        <f t="shared" ca="1" si="352"/>
        <v>49.503805176037652</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-0.11243464555339777</v>
      </c>
      <c r="AH804" s="304">
        <f t="shared" ca="1" si="376"/>
        <v>-9.9146324783207636</v>
      </c>
    </row>
    <row r="805" spans="1:34" x14ac:dyDescent="0.2">
      <c r="A805" s="347">
        <f t="shared" ca="1" si="354"/>
        <v>1E-4</v>
      </c>
      <c r="B805" s="304">
        <f t="shared" ca="1" si="355"/>
        <v>43.900200000000318</v>
      </c>
      <c r="D805" s="306">
        <f t="shared" ca="1" si="356"/>
        <v>-0.39534381974311733</v>
      </c>
      <c r="E805" s="307">
        <f t="shared" ca="1" si="357"/>
        <v>9.6756280392886751E-2</v>
      </c>
      <c r="F805" s="304">
        <f t="shared" ca="1" si="358"/>
        <v>0.40701168730706661</v>
      </c>
      <c r="G805" s="306">
        <f t="shared" ca="1" si="359"/>
        <v>4.4489095529388916</v>
      </c>
      <c r="H805" s="307">
        <f t="shared" ca="1" si="360"/>
        <v>-111.48435434099557</v>
      </c>
      <c r="I805" s="304">
        <f t="shared" ca="1" si="361"/>
        <v>111.57308841758791</v>
      </c>
      <c r="J805" s="306">
        <f t="shared" ca="1" si="362"/>
        <v>928.20926186620727</v>
      </c>
      <c r="K805" s="307">
        <f t="shared" ca="1" si="363"/>
        <v>-5.5621750515330612</v>
      </c>
      <c r="L805" s="304">
        <f t="shared" ca="1" si="348"/>
        <v>928.22592702720453</v>
      </c>
      <c r="M805" s="306">
        <f t="shared" ca="1" si="364"/>
        <v>-1.5309113563482768</v>
      </c>
      <c r="N805" s="304">
        <f t="shared" ca="1" si="365"/>
        <v>-87.714759527404667</v>
      </c>
      <c r="P805" s="310">
        <f t="shared" ca="1" si="366"/>
        <v>23</v>
      </c>
      <c r="Q805" s="304">
        <f t="shared" ca="1" si="367"/>
        <v>0</v>
      </c>
      <c r="R805" s="306">
        <f t="shared" ca="1" si="368"/>
        <v>0</v>
      </c>
      <c r="S805" s="307">
        <f t="shared" ca="1" si="369"/>
        <v>4.9929999999999914</v>
      </c>
      <c r="T805" s="304">
        <f t="shared" ca="1" si="349"/>
        <v>48.981329999999922</v>
      </c>
      <c r="U805" s="311">
        <f t="shared" ca="1" si="350"/>
        <v>0</v>
      </c>
      <c r="V805" s="306">
        <f t="shared" ca="1" si="351"/>
        <v>1.2256815559904994</v>
      </c>
      <c r="W805" s="304">
        <f t="shared" ca="1" si="352"/>
        <v>49.503850387063984</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-0.11244356344183437</v>
      </c>
      <c r="AH805" s="304">
        <f t="shared" ca="1" si="376"/>
        <v>-9.9146415333542439</v>
      </c>
    </row>
    <row r="806" spans="1:34" x14ac:dyDescent="0.2">
      <c r="A806" s="347">
        <f t="shared" ca="1" si="354"/>
        <v>1E-4</v>
      </c>
      <c r="B806" s="304">
        <f t="shared" ca="1" si="355"/>
        <v>43.900300000000321</v>
      </c>
      <c r="D806" s="306">
        <f t="shared" ca="1" si="356"/>
        <v>-0.39534070752766515</v>
      </c>
      <c r="E806" s="307">
        <f t="shared" ca="1" si="357"/>
        <v>9.6765466679164192E-2</v>
      </c>
      <c r="F806" s="304">
        <f t="shared" ca="1" si="358"/>
        <v>0.40701084822165529</v>
      </c>
      <c r="G806" s="306">
        <f t="shared" ca="1" si="359"/>
        <v>4.4488700188681385</v>
      </c>
      <c r="H806" s="307">
        <f t="shared" ca="1" si="360"/>
        <v>-111.4843446644489</v>
      </c>
      <c r="I806" s="304">
        <f t="shared" ca="1" si="361"/>
        <v>111.57307717234664</v>
      </c>
      <c r="J806" s="306">
        <f t="shared" ca="1" si="362"/>
        <v>928.20926186620727</v>
      </c>
      <c r="K806" s="307">
        <f t="shared" ca="1" si="363"/>
        <v>-5.5733234864833339</v>
      </c>
      <c r="L806" s="304">
        <f t="shared" ca="1" si="348"/>
        <v>928.2259938985195</v>
      </c>
      <c r="M806" s="306">
        <f t="shared" ca="1" si="364"/>
        <v>-1.5309117069416622</v>
      </c>
      <c r="N806" s="304">
        <f t="shared" ca="1" si="365"/>
        <v>-87.714779614925973</v>
      </c>
      <c r="P806" s="310">
        <f t="shared" ca="1" si="366"/>
        <v>23</v>
      </c>
      <c r="Q806" s="304">
        <f t="shared" ca="1" si="367"/>
        <v>0</v>
      </c>
      <c r="R806" s="306">
        <f t="shared" ca="1" si="368"/>
        <v>0</v>
      </c>
      <c r="S806" s="307">
        <f t="shared" ca="1" si="369"/>
        <v>4.9929999999999914</v>
      </c>
      <c r="T806" s="304">
        <f t="shared" ca="1" si="349"/>
        <v>48.981329999999922</v>
      </c>
      <c r="U806" s="311">
        <f t="shared" ca="1" si="350"/>
        <v>0</v>
      </c>
      <c r="V806" s="306">
        <f t="shared" ca="1" si="351"/>
        <v>1.2256829224344763</v>
      </c>
      <c r="W806" s="304">
        <f t="shared" ca="1" si="352"/>
        <v>49.503895597334427</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-0.11245248118128792</v>
      </c>
      <c r="AH806" s="304">
        <f t="shared" ca="1" si="376"/>
        <v>-9.9146505882363449</v>
      </c>
    </row>
    <row r="807" spans="1:34" x14ac:dyDescent="0.2">
      <c r="A807" s="347">
        <f t="shared" ca="1" si="354"/>
        <v>1E-4</v>
      </c>
      <c r="B807" s="304">
        <f t="shared" ca="1" si="355"/>
        <v>43.900400000000324</v>
      </c>
      <c r="D807" s="306">
        <f t="shared" ca="1" si="356"/>
        <v>-0.39533759532994672</v>
      </c>
      <c r="E807" s="307">
        <f t="shared" ca="1" si="357"/>
        <v>9.6774652812001705E-2</v>
      </c>
      <c r="F807" s="304">
        <f t="shared" ca="1" si="358"/>
        <v>0.40701000934638965</v>
      </c>
      <c r="G807" s="306">
        <f t="shared" ca="1" si="359"/>
        <v>4.4488304851086058</v>
      </c>
      <c r="H807" s="307">
        <f t="shared" ca="1" si="360"/>
        <v>-111.48433498698361</v>
      </c>
      <c r="I807" s="304">
        <f t="shared" ca="1" si="361"/>
        <v>111.57306592621362</v>
      </c>
      <c r="J807" s="306">
        <f t="shared" ca="1" si="362"/>
        <v>928.20926186620727</v>
      </c>
      <c r="K807" s="307">
        <f t="shared" ca="1" si="363"/>
        <v>-5.5844719204659059</v>
      </c>
      <c r="L807" s="304">
        <f t="shared" ca="1" si="348"/>
        <v>928.22606090372176</v>
      </c>
      <c r="M807" s="306">
        <f t="shared" ca="1" si="364"/>
        <v>-1.530912057532003</v>
      </c>
      <c r="N807" s="304">
        <f t="shared" ca="1" si="365"/>
        <v>-87.714799702272842</v>
      </c>
      <c r="P807" s="310">
        <f t="shared" ca="1" si="366"/>
        <v>23</v>
      </c>
      <c r="Q807" s="304">
        <f t="shared" ca="1" si="367"/>
        <v>0</v>
      </c>
      <c r="R807" s="306">
        <f t="shared" ca="1" si="368"/>
        <v>0</v>
      </c>
      <c r="S807" s="307">
        <f t="shared" ca="1" si="369"/>
        <v>4.9929999999999914</v>
      </c>
      <c r="T807" s="304">
        <f t="shared" ca="1" si="349"/>
        <v>48.981329999999922</v>
      </c>
      <c r="U807" s="311">
        <f t="shared" ca="1" si="350"/>
        <v>0</v>
      </c>
      <c r="V807" s="306">
        <f t="shared" ca="1" si="351"/>
        <v>1.2256842888798589</v>
      </c>
      <c r="W807" s="304">
        <f t="shared" ca="1" si="352"/>
        <v>49.503940806849087</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-0.11246139877174777</v>
      </c>
      <c r="AH807" s="304">
        <f t="shared" ca="1" si="376"/>
        <v>-9.9146596429670559</v>
      </c>
    </row>
    <row r="808" spans="1:34" x14ac:dyDescent="0.2">
      <c r="A808" s="347">
        <f t="shared" ca="1" si="354"/>
        <v>1E-4</v>
      </c>
      <c r="B808" s="304">
        <f t="shared" ca="1" si="355"/>
        <v>43.900500000000328</v>
      </c>
      <c r="D808" s="306">
        <f t="shared" ca="1" si="356"/>
        <v>-0.395334483149963</v>
      </c>
      <c r="E808" s="307">
        <f t="shared" ca="1" si="357"/>
        <v>9.6783838791425936E-2</v>
      </c>
      <c r="F808" s="304">
        <f t="shared" ca="1" si="358"/>
        <v>0.40700917068126746</v>
      </c>
      <c r="G808" s="306">
        <f t="shared" ca="1" si="359"/>
        <v>4.4487909516602908</v>
      </c>
      <c r="H808" s="307">
        <f t="shared" ca="1" si="360"/>
        <v>-111.48432530859974</v>
      </c>
      <c r="I808" s="304">
        <f t="shared" ca="1" si="361"/>
        <v>111.57305467918886</v>
      </c>
      <c r="J808" s="306">
        <f t="shared" ca="1" si="362"/>
        <v>928.20926186620727</v>
      </c>
      <c r="K808" s="307">
        <f t="shared" ca="1" si="363"/>
        <v>-5.595620353480685</v>
      </c>
      <c r="L808" s="304">
        <f t="shared" ca="1" si="348"/>
        <v>928.2261280428113</v>
      </c>
      <c r="M808" s="306">
        <f t="shared" ca="1" si="364"/>
        <v>-1.5309124081192989</v>
      </c>
      <c r="N808" s="304">
        <f t="shared" ca="1" si="365"/>
        <v>-87.714819789445244</v>
      </c>
      <c r="P808" s="310">
        <f t="shared" ca="1" si="366"/>
        <v>23</v>
      </c>
      <c r="Q808" s="304">
        <f t="shared" ca="1" si="367"/>
        <v>0</v>
      </c>
      <c r="R808" s="306">
        <f t="shared" ca="1" si="368"/>
        <v>0</v>
      </c>
      <c r="S808" s="307">
        <f t="shared" ca="1" si="369"/>
        <v>4.9929999999999914</v>
      </c>
      <c r="T808" s="304">
        <f t="shared" ca="1" si="349"/>
        <v>48.981329999999922</v>
      </c>
      <c r="U808" s="311">
        <f t="shared" ca="1" si="350"/>
        <v>0</v>
      </c>
      <c r="V808" s="306">
        <f t="shared" ca="1" si="351"/>
        <v>1.2256856553266466</v>
      </c>
      <c r="W808" s="304">
        <f t="shared" ca="1" si="352"/>
        <v>49.503986015607936</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-0.112470316213237</v>
      </c>
      <c r="AH808" s="304">
        <f t="shared" ca="1" si="376"/>
        <v>-9.9146686975464</v>
      </c>
    </row>
    <row r="809" spans="1:34" x14ac:dyDescent="0.2">
      <c r="A809" s="347">
        <f t="shared" ca="1" si="354"/>
        <v>1E-4</v>
      </c>
      <c r="B809" s="304">
        <f t="shared" ca="1" si="355"/>
        <v>43.900600000000331</v>
      </c>
      <c r="D809" s="306">
        <f t="shared" ca="1" si="356"/>
        <v>-0.3953313709877162</v>
      </c>
      <c r="E809" s="307">
        <f t="shared" ca="1" si="357"/>
        <v>9.6793024617426227E-2</v>
      </c>
      <c r="F809" s="304">
        <f t="shared" ca="1" si="358"/>
        <v>0.40700833222627886</v>
      </c>
      <c r="G809" s="306">
        <f t="shared" ca="1" si="359"/>
        <v>4.4487514185231918</v>
      </c>
      <c r="H809" s="307">
        <f t="shared" ca="1" si="360"/>
        <v>-111.48431562929727</v>
      </c>
      <c r="I809" s="304">
        <f t="shared" ca="1" si="361"/>
        <v>111.57304343127237</v>
      </c>
      <c r="J809" s="306">
        <f t="shared" ca="1" si="362"/>
        <v>928.20926186620727</v>
      </c>
      <c r="K809" s="307">
        <f t="shared" ca="1" si="363"/>
        <v>-5.6067687855275796</v>
      </c>
      <c r="L809" s="304">
        <f t="shared" ca="1" si="348"/>
        <v>928.22619531578812</v>
      </c>
      <c r="M809" s="306">
        <f t="shared" ca="1" si="364"/>
        <v>-1.53091275870355</v>
      </c>
      <c r="N809" s="304">
        <f t="shared" ca="1" si="365"/>
        <v>-87.714839876443207</v>
      </c>
      <c r="P809" s="310">
        <f t="shared" ca="1" si="366"/>
        <v>23</v>
      </c>
      <c r="Q809" s="304">
        <f t="shared" ca="1" si="367"/>
        <v>0</v>
      </c>
      <c r="R809" s="306">
        <f t="shared" ca="1" si="368"/>
        <v>0</v>
      </c>
      <c r="S809" s="307">
        <f t="shared" ca="1" si="369"/>
        <v>4.9929999999999914</v>
      </c>
      <c r="T809" s="304">
        <f t="shared" ca="1" si="349"/>
        <v>48.981329999999922</v>
      </c>
      <c r="U809" s="311">
        <f t="shared" ca="1" si="350"/>
        <v>0</v>
      </c>
      <c r="V809" s="306">
        <f t="shared" ca="1" si="351"/>
        <v>1.2256870217748395</v>
      </c>
      <c r="W809" s="304">
        <f t="shared" ca="1" si="352"/>
        <v>49.504031223610994</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-0.11247923350574673</v>
      </c>
      <c r="AH809" s="304">
        <f t="shared" ca="1" si="376"/>
        <v>-9.9146777519743683</v>
      </c>
    </row>
    <row r="810" spans="1:34" x14ac:dyDescent="0.2">
      <c r="A810" s="347">
        <f t="shared" ca="1" si="354"/>
        <v>1E-4</v>
      </c>
      <c r="B810" s="304">
        <f t="shared" ca="1" si="355"/>
        <v>43.900700000000334</v>
      </c>
      <c r="D810" s="306">
        <f t="shared" ca="1" si="356"/>
        <v>-0.39532825884320461</v>
      </c>
      <c r="E810" s="307">
        <f t="shared" ca="1" si="357"/>
        <v>9.6802210290009683E-2</v>
      </c>
      <c r="F810" s="304">
        <f t="shared" ca="1" si="358"/>
        <v>0.40700749398141434</v>
      </c>
      <c r="G810" s="306">
        <f t="shared" ca="1" si="359"/>
        <v>4.4487118856973078</v>
      </c>
      <c r="H810" s="307">
        <f t="shared" ca="1" si="360"/>
        <v>-111.48430594907624</v>
      </c>
      <c r="I810" s="304">
        <f t="shared" ca="1" si="361"/>
        <v>111.57303218246415</v>
      </c>
      <c r="J810" s="306">
        <f t="shared" ca="1" si="362"/>
        <v>928.20926186620727</v>
      </c>
      <c r="K810" s="307">
        <f t="shared" ca="1" si="363"/>
        <v>-5.6179172166064983</v>
      </c>
      <c r="L810" s="304">
        <f t="shared" ca="1" si="348"/>
        <v>928.22626272265211</v>
      </c>
      <c r="M810" s="306">
        <f t="shared" ca="1" si="364"/>
        <v>-1.5309131092847565</v>
      </c>
      <c r="N810" s="304">
        <f t="shared" ca="1" si="365"/>
        <v>-87.714859963266719</v>
      </c>
      <c r="P810" s="310">
        <f t="shared" ca="1" si="366"/>
        <v>23</v>
      </c>
      <c r="Q810" s="304">
        <f t="shared" ca="1" si="367"/>
        <v>0</v>
      </c>
      <c r="R810" s="306">
        <f t="shared" ca="1" si="368"/>
        <v>0</v>
      </c>
      <c r="S810" s="307">
        <f t="shared" ca="1" si="369"/>
        <v>4.9929999999999914</v>
      </c>
      <c r="T810" s="304">
        <f t="shared" ca="1" si="349"/>
        <v>48.981329999999922</v>
      </c>
      <c r="U810" s="311">
        <f t="shared" ca="1" si="350"/>
        <v>0</v>
      </c>
      <c r="V810" s="306">
        <f t="shared" ca="1" si="351"/>
        <v>1.2256883882244372</v>
      </c>
      <c r="W810" s="304">
        <f t="shared" ca="1" si="352"/>
        <v>49.50407643085822</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-0.1124881506492823</v>
      </c>
      <c r="AH810" s="304">
        <f t="shared" ca="1" si="376"/>
        <v>-9.9146868062509679</v>
      </c>
    </row>
    <row r="811" spans="1:34" x14ac:dyDescent="0.2">
      <c r="A811" s="347">
        <f t="shared" ca="1" si="354"/>
        <v>1E-4</v>
      </c>
      <c r="B811" s="304">
        <f t="shared" ca="1" si="355"/>
        <v>43.900800000000338</v>
      </c>
      <c r="D811" s="306">
        <f t="shared" ca="1" si="356"/>
        <v>-0.39532514671642793</v>
      </c>
      <c r="E811" s="307">
        <f t="shared" ca="1" si="357"/>
        <v>9.6811395809165646E-2</v>
      </c>
      <c r="F811" s="304">
        <f t="shared" ca="1" si="358"/>
        <v>0.40700665594666169</v>
      </c>
      <c r="G811" s="306">
        <f t="shared" ca="1" si="359"/>
        <v>4.4486723531826362</v>
      </c>
      <c r="H811" s="307">
        <f t="shared" ca="1" si="360"/>
        <v>-111.48429626793666</v>
      </c>
      <c r="I811" s="304">
        <f t="shared" ca="1" si="361"/>
        <v>111.57302093276424</v>
      </c>
      <c r="J811" s="306">
        <f t="shared" ca="1" si="362"/>
        <v>928.20926186620727</v>
      </c>
      <c r="K811" s="307">
        <f t="shared" ca="1" si="363"/>
        <v>-5.6290656467173488</v>
      </c>
      <c r="L811" s="304">
        <f t="shared" ca="1" si="348"/>
        <v>928.22633026340316</v>
      </c>
      <c r="M811" s="306">
        <f t="shared" ca="1" si="364"/>
        <v>-1.5309134598629184</v>
      </c>
      <c r="N811" s="304">
        <f t="shared" ca="1" si="365"/>
        <v>-87.714880049915777</v>
      </c>
      <c r="P811" s="310">
        <f t="shared" ca="1" si="366"/>
        <v>23</v>
      </c>
      <c r="Q811" s="304">
        <f t="shared" ca="1" si="367"/>
        <v>0</v>
      </c>
      <c r="R811" s="306">
        <f t="shared" ca="1" si="368"/>
        <v>0</v>
      </c>
      <c r="S811" s="307">
        <f t="shared" ca="1" si="369"/>
        <v>4.9929999999999914</v>
      </c>
      <c r="T811" s="304">
        <f t="shared" ca="1" si="349"/>
        <v>48.981329999999922</v>
      </c>
      <c r="U811" s="311">
        <f t="shared" ca="1" si="350"/>
        <v>0</v>
      </c>
      <c r="V811" s="306">
        <f t="shared" ca="1" si="351"/>
        <v>1.2256897546754404</v>
      </c>
      <c r="W811" s="304">
        <f t="shared" ca="1" si="352"/>
        <v>49.504121637349698</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-0.11249706764383482</v>
      </c>
      <c r="AH811" s="304">
        <f t="shared" ca="1" si="376"/>
        <v>-9.9146958603761881</v>
      </c>
    </row>
    <row r="812" spans="1:34" x14ac:dyDescent="0.2">
      <c r="A812" s="347">
        <f t="shared" ca="1" si="354"/>
        <v>1E-4</v>
      </c>
      <c r="B812" s="304">
        <f t="shared" ca="1" si="355"/>
        <v>43.900900000000341</v>
      </c>
      <c r="D812" s="306">
        <f t="shared" ca="1" si="356"/>
        <v>-0.3953220346073873</v>
      </c>
      <c r="E812" s="307">
        <f t="shared" ca="1" si="357"/>
        <v>9.6820581174911879E-2</v>
      </c>
      <c r="F812" s="304">
        <f t="shared" ca="1" si="358"/>
        <v>0.40700581812201658</v>
      </c>
      <c r="G812" s="306">
        <f t="shared" ca="1" si="359"/>
        <v>4.4486328209791752</v>
      </c>
      <c r="H812" s="307">
        <f t="shared" ca="1" si="360"/>
        <v>-111.48428658587854</v>
      </c>
      <c r="I812" s="304">
        <f t="shared" ca="1" si="361"/>
        <v>111.57300968217264</v>
      </c>
      <c r="J812" s="306">
        <f t="shared" ca="1" si="362"/>
        <v>928.20926186620727</v>
      </c>
      <c r="K812" s="307">
        <f t="shared" ca="1" si="363"/>
        <v>-5.6402140758600394</v>
      </c>
      <c r="L812" s="304">
        <f t="shared" ca="1" si="348"/>
        <v>928.22639793804126</v>
      </c>
      <c r="M812" s="306">
        <f t="shared" ca="1" si="364"/>
        <v>-1.5309138104380355</v>
      </c>
      <c r="N812" s="304">
        <f t="shared" ca="1" si="365"/>
        <v>-87.714900136390398</v>
      </c>
      <c r="P812" s="310">
        <f t="shared" ca="1" si="366"/>
        <v>23</v>
      </c>
      <c r="Q812" s="304">
        <f t="shared" ca="1" si="367"/>
        <v>0</v>
      </c>
      <c r="R812" s="306">
        <f t="shared" ca="1" si="368"/>
        <v>0</v>
      </c>
      <c r="S812" s="307">
        <f t="shared" ca="1" si="369"/>
        <v>4.9929999999999914</v>
      </c>
      <c r="T812" s="304">
        <f t="shared" ca="1" si="349"/>
        <v>48.981329999999922</v>
      </c>
      <c r="U812" s="311">
        <f t="shared" ca="1" si="350"/>
        <v>0</v>
      </c>
      <c r="V812" s="306">
        <f t="shared" ca="1" si="351"/>
        <v>1.2256911211278483</v>
      </c>
      <c r="W812" s="304">
        <f t="shared" ca="1" si="352"/>
        <v>49.504166843085386</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-0.11250598448942029</v>
      </c>
      <c r="AH812" s="304">
        <f t="shared" ca="1" si="376"/>
        <v>-9.9147049143500467</v>
      </c>
    </row>
    <row r="813" spans="1:34" x14ac:dyDescent="0.2">
      <c r="A813" s="347">
        <f t="shared" ca="1" si="354"/>
        <v>1E-4</v>
      </c>
      <c r="B813" s="304">
        <f t="shared" ca="1" si="355"/>
        <v>43.901000000000344</v>
      </c>
      <c r="D813" s="306">
        <f t="shared" ca="1" si="356"/>
        <v>-0.39531892251608258</v>
      </c>
      <c r="E813" s="307">
        <f t="shared" ca="1" si="357"/>
        <v>9.6829766387241278E-2</v>
      </c>
      <c r="F813" s="304">
        <f t="shared" ca="1" si="358"/>
        <v>0.40700498050746781</v>
      </c>
      <c r="G813" s="306">
        <f t="shared" ca="1" si="359"/>
        <v>4.448593289086924</v>
      </c>
      <c r="H813" s="307">
        <f t="shared" ca="1" si="360"/>
        <v>-111.4842769029019</v>
      </c>
      <c r="I813" s="304">
        <f t="shared" ca="1" si="361"/>
        <v>111.57299843068938</v>
      </c>
      <c r="J813" s="306">
        <f t="shared" ca="1" si="362"/>
        <v>928.20926186620727</v>
      </c>
      <c r="K813" s="307">
        <f t="shared" ca="1" si="363"/>
        <v>-5.6513625040344788</v>
      </c>
      <c r="L813" s="304">
        <f t="shared" ca="1" si="348"/>
        <v>928.2264657465663</v>
      </c>
      <c r="M813" s="306">
        <f t="shared" ca="1" si="364"/>
        <v>-1.530914161010108</v>
      </c>
      <c r="N813" s="304">
        <f t="shared" ca="1" si="365"/>
        <v>-87.714920222690566</v>
      </c>
      <c r="P813" s="310">
        <f t="shared" ca="1" si="366"/>
        <v>23</v>
      </c>
      <c r="Q813" s="304">
        <f t="shared" ca="1" si="367"/>
        <v>0</v>
      </c>
      <c r="R813" s="306">
        <f t="shared" ca="1" si="368"/>
        <v>0</v>
      </c>
      <c r="S813" s="307">
        <f t="shared" ca="1" si="369"/>
        <v>4.9929999999999914</v>
      </c>
      <c r="T813" s="304">
        <f t="shared" ca="1" si="349"/>
        <v>48.981329999999922</v>
      </c>
      <c r="U813" s="311">
        <f t="shared" ca="1" si="350"/>
        <v>0</v>
      </c>
      <c r="V813" s="306">
        <f t="shared" ca="1" si="351"/>
        <v>1.2256924875816622</v>
      </c>
      <c r="W813" s="304">
        <f t="shared" ca="1" si="352"/>
        <v>49.504212048065369</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-0.11251490118603336</v>
      </c>
      <c r="AH813" s="304">
        <f t="shared" ca="1" si="376"/>
        <v>-9.9147139681725349</v>
      </c>
    </row>
    <row r="814" spans="1:34" x14ac:dyDescent="0.2">
      <c r="A814" s="347">
        <f t="shared" ca="1" si="354"/>
        <v>1E-4</v>
      </c>
      <c r="B814" s="304">
        <f t="shared" ca="1" si="355"/>
        <v>43.901100000000348</v>
      </c>
      <c r="D814" s="306">
        <f t="shared" ca="1" si="356"/>
        <v>-0.39531581044251468</v>
      </c>
      <c r="E814" s="307">
        <f t="shared" ca="1" si="357"/>
        <v>9.6838951446171606E-2</v>
      </c>
      <c r="F814" s="304">
        <f t="shared" ca="1" si="358"/>
        <v>0.40700414310301092</v>
      </c>
      <c r="G814" s="306">
        <f t="shared" ca="1" si="359"/>
        <v>4.4485537575058798</v>
      </c>
      <c r="H814" s="307">
        <f t="shared" ca="1" si="360"/>
        <v>-111.48426721900675</v>
      </c>
      <c r="I814" s="304">
        <f t="shared" ca="1" si="361"/>
        <v>111.57298717831446</v>
      </c>
      <c r="J814" s="306">
        <f t="shared" ca="1" si="362"/>
        <v>928.20926186620727</v>
      </c>
      <c r="K814" s="307">
        <f t="shared" ca="1" si="363"/>
        <v>-5.6625109312405746</v>
      </c>
      <c r="L814" s="304">
        <f t="shared" ca="1" si="348"/>
        <v>928.22653368897818</v>
      </c>
      <c r="M814" s="306">
        <f t="shared" ca="1" si="364"/>
        <v>-1.5309145115791361</v>
      </c>
      <c r="N814" s="304">
        <f t="shared" ca="1" si="365"/>
        <v>-87.714940308816296</v>
      </c>
      <c r="P814" s="310">
        <f t="shared" ca="1" si="366"/>
        <v>23</v>
      </c>
      <c r="Q814" s="304">
        <f t="shared" ca="1" si="367"/>
        <v>0</v>
      </c>
      <c r="R814" s="306">
        <f t="shared" ca="1" si="368"/>
        <v>0</v>
      </c>
      <c r="S814" s="307">
        <f t="shared" ca="1" si="369"/>
        <v>4.9929999999999914</v>
      </c>
      <c r="T814" s="304">
        <f t="shared" ca="1" si="349"/>
        <v>48.981329999999922</v>
      </c>
      <c r="U814" s="311">
        <f t="shared" ca="1" si="350"/>
        <v>0</v>
      </c>
      <c r="V814" s="306">
        <f t="shared" ca="1" si="351"/>
        <v>1.2256938540368807</v>
      </c>
      <c r="W814" s="304">
        <f t="shared" ca="1" si="352"/>
        <v>49.504257252289563</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-0.11252381773369002</v>
      </c>
      <c r="AH814" s="304">
        <f t="shared" ca="1" si="376"/>
        <v>-9.9147230218436722</v>
      </c>
    </row>
    <row r="815" spans="1:34" x14ac:dyDescent="0.2">
      <c r="A815" s="347">
        <f t="shared" ca="1" si="354"/>
        <v>1E-4</v>
      </c>
      <c r="B815" s="304">
        <f t="shared" ca="1" si="355"/>
        <v>43.901200000000351</v>
      </c>
      <c r="D815" s="306">
        <f t="shared" ca="1" si="356"/>
        <v>-0.39531269838668093</v>
      </c>
      <c r="E815" s="307">
        <f t="shared" ca="1" si="357"/>
        <v>9.6848136351685099E-2</v>
      </c>
      <c r="F815" s="304">
        <f t="shared" ca="1" si="358"/>
        <v>0.40700330590862965</v>
      </c>
      <c r="G815" s="306">
        <f t="shared" ca="1" si="359"/>
        <v>4.4485142262360409</v>
      </c>
      <c r="H815" s="307">
        <f t="shared" ca="1" si="360"/>
        <v>-111.48425753419312</v>
      </c>
      <c r="I815" s="304">
        <f t="shared" ca="1" si="361"/>
        <v>111.57297592504791</v>
      </c>
      <c r="J815" s="306">
        <f t="shared" ca="1" si="362"/>
        <v>928.20926186620727</v>
      </c>
      <c r="K815" s="307">
        <f t="shared" ca="1" si="363"/>
        <v>-5.6736593574782344</v>
      </c>
      <c r="L815" s="304">
        <f t="shared" ca="1" si="348"/>
        <v>928.22660176527688</v>
      </c>
      <c r="M815" s="306">
        <f t="shared" ca="1" si="364"/>
        <v>-1.5309148621451194</v>
      </c>
      <c r="N815" s="304">
        <f t="shared" ca="1" si="365"/>
        <v>-87.714960394767587</v>
      </c>
      <c r="P815" s="310">
        <f t="shared" ca="1" si="366"/>
        <v>23</v>
      </c>
      <c r="Q815" s="304">
        <f t="shared" ca="1" si="367"/>
        <v>0</v>
      </c>
      <c r="R815" s="306">
        <f t="shared" ca="1" si="368"/>
        <v>0</v>
      </c>
      <c r="S815" s="307">
        <f t="shared" ca="1" si="369"/>
        <v>4.9929999999999914</v>
      </c>
      <c r="T815" s="304">
        <f t="shared" ca="1" si="349"/>
        <v>48.981329999999922</v>
      </c>
      <c r="U815" s="311">
        <f t="shared" ca="1" si="350"/>
        <v>0</v>
      </c>
      <c r="V815" s="306">
        <f t="shared" ca="1" si="351"/>
        <v>1.2256952204935041</v>
      </c>
      <c r="W815" s="304">
        <f t="shared" ca="1" si="352"/>
        <v>49.504302455758022</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-0.11253273413237252</v>
      </c>
      <c r="AH815" s="304">
        <f t="shared" ca="1" si="376"/>
        <v>-9.9147320753634389</v>
      </c>
    </row>
    <row r="816" spans="1:34" x14ac:dyDescent="0.2">
      <c r="A816" s="347">
        <f t="shared" ca="1" si="354"/>
        <v>1E-4</v>
      </c>
      <c r="B816" s="304">
        <f t="shared" ca="1" si="355"/>
        <v>43.901300000000354</v>
      </c>
      <c r="D816" s="306">
        <f t="shared" ca="1" si="356"/>
        <v>-0.39530958634858415</v>
      </c>
      <c r="E816" s="307">
        <f t="shared" ca="1" si="357"/>
        <v>9.6857321103788863E-2</v>
      </c>
      <c r="F816" s="304">
        <f t="shared" ca="1" si="358"/>
        <v>0.40700246892431891</v>
      </c>
      <c r="G816" s="306">
        <f t="shared" ca="1" si="359"/>
        <v>4.4484746952774064</v>
      </c>
      <c r="H816" s="307">
        <f t="shared" ca="1" si="360"/>
        <v>-111.48424784846101</v>
      </c>
      <c r="I816" s="304">
        <f t="shared" ca="1" si="361"/>
        <v>111.57296467088973</v>
      </c>
      <c r="J816" s="306">
        <f t="shared" ca="1" si="362"/>
        <v>928.20926186620727</v>
      </c>
      <c r="K816" s="307">
        <f t="shared" ca="1" si="363"/>
        <v>-5.6848077827473666</v>
      </c>
      <c r="L816" s="304">
        <f t="shared" ca="1" si="348"/>
        <v>928.22666997546241</v>
      </c>
      <c r="M816" s="306">
        <f t="shared" ca="1" si="364"/>
        <v>-1.5309152127080583</v>
      </c>
      <c r="N816" s="304">
        <f t="shared" ca="1" si="365"/>
        <v>-87.71498048054444</v>
      </c>
      <c r="P816" s="310">
        <f t="shared" ca="1" si="366"/>
        <v>23</v>
      </c>
      <c r="Q816" s="304">
        <f t="shared" ca="1" si="367"/>
        <v>0</v>
      </c>
      <c r="R816" s="306">
        <f t="shared" ca="1" si="368"/>
        <v>0</v>
      </c>
      <c r="S816" s="307">
        <f t="shared" ca="1" si="369"/>
        <v>4.9929999999999914</v>
      </c>
      <c r="T816" s="304">
        <f t="shared" ca="1" si="349"/>
        <v>48.981329999999922</v>
      </c>
      <c r="U816" s="311">
        <f t="shared" ca="1" si="350"/>
        <v>0</v>
      </c>
      <c r="V816" s="306">
        <f t="shared" ca="1" si="351"/>
        <v>1.2256965869515331</v>
      </c>
      <c r="W816" s="304">
        <f t="shared" ca="1" si="352"/>
        <v>49.504347658470785</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-0.11254165038208797</v>
      </c>
      <c r="AH816" s="304">
        <f t="shared" ca="1" si="376"/>
        <v>-9.9147411287318459</v>
      </c>
    </row>
    <row r="817" spans="1:34" x14ac:dyDescent="0.2">
      <c r="A817" s="347">
        <f t="shared" ca="1" si="354"/>
        <v>1E-4</v>
      </c>
      <c r="B817" s="304">
        <f t="shared" ca="1" si="355"/>
        <v>43.901400000000358</v>
      </c>
      <c r="D817" s="306">
        <f t="shared" ca="1" si="356"/>
        <v>-0.3953064743282228</v>
      </c>
      <c r="E817" s="307">
        <f t="shared" ca="1" si="357"/>
        <v>9.6866505702495331E-2</v>
      </c>
      <c r="F817" s="304">
        <f t="shared" ca="1" si="358"/>
        <v>0.40700163215007062</v>
      </c>
      <c r="G817" s="306">
        <f t="shared" ca="1" si="359"/>
        <v>4.4484351646299736</v>
      </c>
      <c r="H817" s="307">
        <f t="shared" ca="1" si="360"/>
        <v>-111.48423816181044</v>
      </c>
      <c r="I817" s="304">
        <f t="shared" ca="1" si="361"/>
        <v>111.57295341583993</v>
      </c>
      <c r="J817" s="306">
        <f t="shared" ca="1" si="362"/>
        <v>928.20926186620727</v>
      </c>
      <c r="K817" s="307">
        <f t="shared" ca="1" si="363"/>
        <v>-5.69595620704788</v>
      </c>
      <c r="L817" s="304">
        <f t="shared" ca="1" si="348"/>
        <v>928.22673831953466</v>
      </c>
      <c r="M817" s="306">
        <f t="shared" ca="1" si="364"/>
        <v>-1.5309155632679528</v>
      </c>
      <c r="N817" s="304">
        <f t="shared" ca="1" si="365"/>
        <v>-87.715000566146855</v>
      </c>
      <c r="P817" s="310">
        <f t="shared" ca="1" si="366"/>
        <v>23</v>
      </c>
      <c r="Q817" s="304">
        <f t="shared" ca="1" si="367"/>
        <v>0</v>
      </c>
      <c r="R817" s="306">
        <f t="shared" ca="1" si="368"/>
        <v>0</v>
      </c>
      <c r="S817" s="307">
        <f t="shared" ca="1" si="369"/>
        <v>4.9929999999999914</v>
      </c>
      <c r="T817" s="304">
        <f t="shared" ca="1" si="349"/>
        <v>48.981329999999922</v>
      </c>
      <c r="U817" s="311">
        <f t="shared" ca="1" si="350"/>
        <v>0</v>
      </c>
      <c r="V817" s="306">
        <f t="shared" ca="1" si="351"/>
        <v>1.2256979534109667</v>
      </c>
      <c r="W817" s="304">
        <f t="shared" ca="1" si="352"/>
        <v>49.504392860427778</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-0.11255056648285056</v>
      </c>
      <c r="AH817" s="304">
        <f t="shared" ca="1" si="376"/>
        <v>-9.9147501819489019</v>
      </c>
    </row>
    <row r="818" spans="1:34" x14ac:dyDescent="0.2">
      <c r="A818" s="347">
        <f t="shared" ca="1" si="354"/>
        <v>1E-4</v>
      </c>
      <c r="B818" s="304">
        <f t="shared" ca="1" si="355"/>
        <v>43.901500000000361</v>
      </c>
      <c r="D818" s="306">
        <f t="shared" ca="1" si="356"/>
        <v>-0.3953033623255966</v>
      </c>
      <c r="E818" s="307">
        <f t="shared" ca="1" si="357"/>
        <v>9.6875690147788518E-2</v>
      </c>
      <c r="F818" s="304">
        <f t="shared" ca="1" si="358"/>
        <v>0.40700079558587132</v>
      </c>
      <c r="G818" s="306">
        <f t="shared" ca="1" si="359"/>
        <v>4.4483956342937407</v>
      </c>
      <c r="H818" s="307">
        <f t="shared" ca="1" si="360"/>
        <v>-111.48422847424142</v>
      </c>
      <c r="I818" s="304">
        <f t="shared" ca="1" si="361"/>
        <v>111.57294215989855</v>
      </c>
      <c r="J818" s="306">
        <f t="shared" ca="1" si="362"/>
        <v>928.20926186620727</v>
      </c>
      <c r="K818" s="307">
        <f t="shared" ca="1" si="363"/>
        <v>-5.7071046303796829</v>
      </c>
      <c r="L818" s="304">
        <f t="shared" ca="1" si="348"/>
        <v>928.22680679749351</v>
      </c>
      <c r="M818" s="306">
        <f t="shared" ca="1" si="364"/>
        <v>-1.5309159138248027</v>
      </c>
      <c r="N818" s="304">
        <f t="shared" ca="1" si="365"/>
        <v>-87.715020651574832</v>
      </c>
      <c r="P818" s="310">
        <f t="shared" ca="1" si="366"/>
        <v>23</v>
      </c>
      <c r="Q818" s="304">
        <f t="shared" ca="1" si="367"/>
        <v>0</v>
      </c>
      <c r="R818" s="306">
        <f t="shared" ca="1" si="368"/>
        <v>0</v>
      </c>
      <c r="S818" s="307">
        <f t="shared" ca="1" si="369"/>
        <v>4.9929999999999914</v>
      </c>
      <c r="T818" s="304">
        <f t="shared" ca="1" si="349"/>
        <v>48.981329999999922</v>
      </c>
      <c r="U818" s="311">
        <f t="shared" ca="1" si="350"/>
        <v>0</v>
      </c>
      <c r="V818" s="306">
        <f t="shared" ca="1" si="351"/>
        <v>1.2256993198718054</v>
      </c>
      <c r="W818" s="304">
        <f t="shared" ca="1" si="352"/>
        <v>49.504438061629081</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-0.11255948243464253</v>
      </c>
      <c r="AH818" s="304">
        <f t="shared" ca="1" si="376"/>
        <v>-9.9147592350145928</v>
      </c>
    </row>
    <row r="819" spans="1:34" x14ac:dyDescent="0.2">
      <c r="A819" s="347">
        <f t="shared" ca="1" si="354"/>
        <v>1E-4</v>
      </c>
      <c r="B819" s="304">
        <f t="shared" ca="1" si="355"/>
        <v>43.901600000000364</v>
      </c>
      <c r="D819" s="306">
        <f t="shared" ca="1" si="356"/>
        <v>-0.39530025034070632</v>
      </c>
      <c r="E819" s="307">
        <f t="shared" ca="1" si="357"/>
        <v>9.688487443968441E-2</v>
      </c>
      <c r="F819" s="304">
        <f t="shared" ca="1" si="358"/>
        <v>0.406999959231716</v>
      </c>
      <c r="G819" s="306">
        <f t="shared" ca="1" si="359"/>
        <v>4.448356104268707</v>
      </c>
      <c r="H819" s="307">
        <f t="shared" ca="1" si="360"/>
        <v>-111.48421878575398</v>
      </c>
      <c r="I819" s="304">
        <f t="shared" ca="1" si="361"/>
        <v>111.57293090306558</v>
      </c>
      <c r="J819" s="306">
        <f t="shared" ca="1" si="362"/>
        <v>928.20926186620727</v>
      </c>
      <c r="K819" s="307">
        <f t="shared" ca="1" si="363"/>
        <v>-5.7182530527426829</v>
      </c>
      <c r="L819" s="304">
        <f t="shared" ca="1" si="348"/>
        <v>928.22687540933896</v>
      </c>
      <c r="M819" s="306">
        <f t="shared" ca="1" si="364"/>
        <v>-1.5309162643786083</v>
      </c>
      <c r="N819" s="304">
        <f t="shared" ca="1" si="365"/>
        <v>-87.715040736828385</v>
      </c>
      <c r="P819" s="310">
        <f t="shared" ca="1" si="366"/>
        <v>23</v>
      </c>
      <c r="Q819" s="304">
        <f t="shared" ca="1" si="367"/>
        <v>0</v>
      </c>
      <c r="R819" s="306">
        <f t="shared" ca="1" si="368"/>
        <v>0</v>
      </c>
      <c r="S819" s="307">
        <f t="shared" ca="1" si="369"/>
        <v>4.9929999999999914</v>
      </c>
      <c r="T819" s="304">
        <f t="shared" ca="1" si="349"/>
        <v>48.981329999999922</v>
      </c>
      <c r="U819" s="311">
        <f t="shared" ca="1" si="350"/>
        <v>0</v>
      </c>
      <c r="V819" s="306">
        <f t="shared" ca="1" si="351"/>
        <v>1.2257006863340494</v>
      </c>
      <c r="W819" s="304">
        <f t="shared" ca="1" si="352"/>
        <v>49.504483262074714</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-0.11256839823747988</v>
      </c>
      <c r="AH819" s="304">
        <f t="shared" ca="1" si="376"/>
        <v>-9.9147682879289345</v>
      </c>
    </row>
    <row r="820" spans="1:34" x14ac:dyDescent="0.2">
      <c r="A820" s="347">
        <f t="shared" ca="1" si="354"/>
        <v>1E-4</v>
      </c>
      <c r="B820" s="304">
        <f t="shared" ca="1" si="355"/>
        <v>43.901700000000368</v>
      </c>
      <c r="D820" s="306">
        <f t="shared" ca="1" si="356"/>
        <v>-0.39529713837355235</v>
      </c>
      <c r="E820" s="307">
        <f t="shared" ca="1" si="357"/>
        <v>9.6894058578186559E-2</v>
      </c>
      <c r="F820" s="304">
        <f t="shared" ca="1" si="358"/>
        <v>0.40699912308759639</v>
      </c>
      <c r="G820" s="306">
        <f t="shared" ca="1" si="359"/>
        <v>4.4483165745548696</v>
      </c>
      <c r="H820" s="307">
        <f t="shared" ca="1" si="360"/>
        <v>-111.48420909634812</v>
      </c>
      <c r="I820" s="304">
        <f t="shared" ca="1" si="361"/>
        <v>111.57291964534105</v>
      </c>
      <c r="J820" s="306">
        <f t="shared" ca="1" si="362"/>
        <v>928.20926186620727</v>
      </c>
      <c r="K820" s="307">
        <f t="shared" ca="1" si="363"/>
        <v>-5.7294014741367878</v>
      </c>
      <c r="L820" s="304">
        <f t="shared" ca="1" si="348"/>
        <v>928.2269441550709</v>
      </c>
      <c r="M820" s="306">
        <f t="shared" ca="1" si="364"/>
        <v>-1.5309166149293694</v>
      </c>
      <c r="N820" s="304">
        <f t="shared" ca="1" si="365"/>
        <v>-87.7150608219075</v>
      </c>
      <c r="P820" s="310">
        <f t="shared" ca="1" si="366"/>
        <v>23</v>
      </c>
      <c r="Q820" s="304">
        <f t="shared" ca="1" si="367"/>
        <v>0</v>
      </c>
      <c r="R820" s="306">
        <f t="shared" ca="1" si="368"/>
        <v>0</v>
      </c>
      <c r="S820" s="307">
        <f t="shared" ca="1" si="369"/>
        <v>4.9929999999999914</v>
      </c>
      <c r="T820" s="304">
        <f t="shared" ca="1" si="349"/>
        <v>48.981329999999922</v>
      </c>
      <c r="U820" s="311">
        <f t="shared" ca="1" si="350"/>
        <v>0</v>
      </c>
      <c r="V820" s="306">
        <f t="shared" ca="1" si="351"/>
        <v>1.2257020527976987</v>
      </c>
      <c r="W820" s="304">
        <f t="shared" ca="1" si="352"/>
        <v>49.504528461764657</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-0.11257731389136616</v>
      </c>
      <c r="AH820" s="304">
        <f t="shared" ca="1" si="376"/>
        <v>-9.9147773406919288</v>
      </c>
    </row>
    <row r="821" spans="1:34" x14ac:dyDescent="0.2">
      <c r="A821" s="347">
        <f t="shared" ca="1" si="354"/>
        <v>1E-4</v>
      </c>
      <c r="B821" s="304">
        <f t="shared" ca="1" si="355"/>
        <v>43.901800000000371</v>
      </c>
      <c r="D821" s="306">
        <f t="shared" ca="1" si="356"/>
        <v>-0.39529402642413475</v>
      </c>
      <c r="E821" s="307">
        <f t="shared" ca="1" si="357"/>
        <v>9.690324256329319E-2</v>
      </c>
      <c r="F821" s="304">
        <f t="shared" ca="1" si="358"/>
        <v>0.40699828715350261</v>
      </c>
      <c r="G821" s="306">
        <f t="shared" ca="1" si="359"/>
        <v>4.4482770451522269</v>
      </c>
      <c r="H821" s="307">
        <f t="shared" ca="1" si="360"/>
        <v>-111.48419940602386</v>
      </c>
      <c r="I821" s="304">
        <f t="shared" ca="1" si="361"/>
        <v>111.57290838672495</v>
      </c>
      <c r="J821" s="306">
        <f t="shared" ca="1" si="362"/>
        <v>928.20926186620727</v>
      </c>
      <c r="K821" s="307">
        <f t="shared" ca="1" si="363"/>
        <v>-5.740549894561906</v>
      </c>
      <c r="L821" s="304">
        <f t="shared" ca="1" si="348"/>
        <v>928.22701303468932</v>
      </c>
      <c r="M821" s="306">
        <f t="shared" ca="1" si="364"/>
        <v>-1.530916965477086</v>
      </c>
      <c r="N821" s="304">
        <f t="shared" ca="1" si="365"/>
        <v>-87.715080906812176</v>
      </c>
      <c r="P821" s="310">
        <f t="shared" ca="1" si="366"/>
        <v>23</v>
      </c>
      <c r="Q821" s="304">
        <f t="shared" ca="1" si="367"/>
        <v>0</v>
      </c>
      <c r="R821" s="306">
        <f t="shared" ca="1" si="368"/>
        <v>0</v>
      </c>
      <c r="S821" s="307">
        <f t="shared" ca="1" si="369"/>
        <v>4.9929999999999914</v>
      </c>
      <c r="T821" s="304">
        <f t="shared" ca="1" si="349"/>
        <v>48.981329999999922</v>
      </c>
      <c r="U821" s="311">
        <f t="shared" ca="1" si="350"/>
        <v>0</v>
      </c>
      <c r="V821" s="306">
        <f t="shared" ca="1" si="351"/>
        <v>1.2257034192627527</v>
      </c>
      <c r="W821" s="304">
        <f t="shared" ca="1" si="352"/>
        <v>49.504573660698895</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-0.11258622939629781</v>
      </c>
      <c r="AH821" s="304">
        <f t="shared" ca="1" si="376"/>
        <v>-9.914786393303574</v>
      </c>
    </row>
    <row r="822" spans="1:34" x14ac:dyDescent="0.2">
      <c r="A822" s="347">
        <f t="shared" ca="1" si="354"/>
        <v>1E-4</v>
      </c>
      <c r="B822" s="304">
        <f t="shared" ca="1" si="355"/>
        <v>43.901900000000374</v>
      </c>
      <c r="D822" s="306">
        <f t="shared" ca="1" si="356"/>
        <v>-0.39529091449245368</v>
      </c>
      <c r="E822" s="307">
        <f t="shared" ca="1" si="357"/>
        <v>9.6912426394995421E-2</v>
      </c>
      <c r="F822" s="304">
        <f t="shared" ca="1" si="358"/>
        <v>0.40699745142942328</v>
      </c>
      <c r="G822" s="306">
        <f t="shared" ca="1" si="359"/>
        <v>4.4482375160607779</v>
      </c>
      <c r="H822" s="307">
        <f t="shared" ca="1" si="360"/>
        <v>-111.48418971478122</v>
      </c>
      <c r="I822" s="304">
        <f t="shared" ca="1" si="361"/>
        <v>111.57289712721735</v>
      </c>
      <c r="J822" s="306">
        <f t="shared" ca="1" si="362"/>
        <v>928.20926186620727</v>
      </c>
      <c r="K822" s="307">
        <f t="shared" ca="1" si="363"/>
        <v>-5.7516983140179461</v>
      </c>
      <c r="L822" s="304">
        <f t="shared" ca="1" si="348"/>
        <v>928.22708204819401</v>
      </c>
      <c r="M822" s="306">
        <f t="shared" ca="1" si="364"/>
        <v>-1.5309173160217584</v>
      </c>
      <c r="N822" s="304">
        <f t="shared" ca="1" si="365"/>
        <v>-87.715100991542442</v>
      </c>
      <c r="P822" s="310">
        <f t="shared" ca="1" si="366"/>
        <v>23</v>
      </c>
      <c r="Q822" s="304">
        <f t="shared" ca="1" si="367"/>
        <v>0</v>
      </c>
      <c r="R822" s="306">
        <f t="shared" ca="1" si="368"/>
        <v>0</v>
      </c>
      <c r="S822" s="307">
        <f t="shared" ca="1" si="369"/>
        <v>4.9929999999999914</v>
      </c>
      <c r="T822" s="304">
        <f t="shared" ca="1" si="349"/>
        <v>48.981329999999922</v>
      </c>
      <c r="U822" s="311">
        <f t="shared" ca="1" si="350"/>
        <v>0</v>
      </c>
      <c r="V822" s="306">
        <f t="shared" ca="1" si="351"/>
        <v>1.225704785729212</v>
      </c>
      <c r="W822" s="304">
        <f t="shared" ca="1" si="352"/>
        <v>49.504618858877514</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-0.11259514475227128</v>
      </c>
      <c r="AH822" s="304">
        <f t="shared" ca="1" si="376"/>
        <v>-9.9147954457638647</v>
      </c>
    </row>
    <row r="823" spans="1:34" x14ac:dyDescent="0.2">
      <c r="A823" s="347">
        <f t="shared" ca="1" si="354"/>
        <v>1E-4</v>
      </c>
      <c r="B823" s="304">
        <f t="shared" ca="1" si="355"/>
        <v>43.902000000000378</v>
      </c>
      <c r="D823" s="306">
        <f t="shared" ca="1" si="356"/>
        <v>-0.3952878025785081</v>
      </c>
      <c r="E823" s="307">
        <f t="shared" ca="1" si="357"/>
        <v>9.6921610073318121E-2</v>
      </c>
      <c r="F823" s="304">
        <f t="shared" ca="1" si="358"/>
        <v>0.40699661591535369</v>
      </c>
      <c r="G823" s="306">
        <f t="shared" ca="1" si="359"/>
        <v>4.44819798728052</v>
      </c>
      <c r="H823" s="307">
        <f t="shared" ca="1" si="360"/>
        <v>-111.48418002262022</v>
      </c>
      <c r="I823" s="304">
        <f t="shared" ca="1" si="361"/>
        <v>111.5728858668182</v>
      </c>
      <c r="J823" s="306">
        <f t="shared" ca="1" si="362"/>
        <v>928.20926186620727</v>
      </c>
      <c r="K823" s="307">
        <f t="shared" ca="1" si="363"/>
        <v>-5.7628467325048165</v>
      </c>
      <c r="L823" s="304">
        <f t="shared" ca="1" si="348"/>
        <v>928.22715119558518</v>
      </c>
      <c r="M823" s="306">
        <f t="shared" ca="1" si="364"/>
        <v>-1.5309176665633863</v>
      </c>
      <c r="N823" s="304">
        <f t="shared" ca="1" si="365"/>
        <v>-87.715121076098271</v>
      </c>
      <c r="P823" s="310">
        <f t="shared" ca="1" si="366"/>
        <v>23</v>
      </c>
      <c r="Q823" s="304">
        <f t="shared" ca="1" si="367"/>
        <v>0</v>
      </c>
      <c r="R823" s="306">
        <f t="shared" ca="1" si="368"/>
        <v>0</v>
      </c>
      <c r="S823" s="307">
        <f t="shared" ca="1" si="369"/>
        <v>4.9929999999999914</v>
      </c>
      <c r="T823" s="304">
        <f t="shared" ca="1" si="349"/>
        <v>48.981329999999922</v>
      </c>
      <c r="U823" s="311">
        <f t="shared" ca="1" si="350"/>
        <v>0</v>
      </c>
      <c r="V823" s="306">
        <f t="shared" ca="1" si="351"/>
        <v>1.225706152197076</v>
      </c>
      <c r="W823" s="304">
        <f t="shared" ca="1" si="352"/>
        <v>49.504664056300442</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-0.11260405995930789</v>
      </c>
      <c r="AH823" s="304">
        <f t="shared" ca="1" si="376"/>
        <v>-9.9148044980728223</v>
      </c>
    </row>
    <row r="824" spans="1:34" x14ac:dyDescent="0.2">
      <c r="A824" s="347">
        <f t="shared" ca="1" si="354"/>
        <v>1E-4</v>
      </c>
      <c r="B824" s="304">
        <f t="shared" ca="1" si="355"/>
        <v>43.902100000000381</v>
      </c>
      <c r="D824" s="306">
        <f t="shared" ca="1" si="356"/>
        <v>-0.39528469068229943</v>
      </c>
      <c r="E824" s="307">
        <f t="shared" ca="1" si="357"/>
        <v>9.6930793598241749E-2</v>
      </c>
      <c r="F824" s="304">
        <f t="shared" ca="1" si="358"/>
        <v>0.40699578061128111</v>
      </c>
      <c r="G824" s="306">
        <f t="shared" ca="1" si="359"/>
        <v>4.4481584588114513</v>
      </c>
      <c r="H824" s="307">
        <f t="shared" ca="1" si="360"/>
        <v>-111.48417032954086</v>
      </c>
      <c r="I824" s="304">
        <f t="shared" ca="1" si="361"/>
        <v>111.57287460552755</v>
      </c>
      <c r="J824" s="306">
        <f t="shared" ca="1" si="362"/>
        <v>928.20926186620727</v>
      </c>
      <c r="K824" s="307">
        <f t="shared" ca="1" si="363"/>
        <v>-5.7739951500224249</v>
      </c>
      <c r="L824" s="304">
        <f t="shared" ca="1" si="348"/>
        <v>928.2272204768625</v>
      </c>
      <c r="M824" s="306">
        <f t="shared" ca="1" si="364"/>
        <v>-1.5309180171019703</v>
      </c>
      <c r="N824" s="304">
        <f t="shared" ca="1" si="365"/>
        <v>-87.715141160479689</v>
      </c>
      <c r="P824" s="310">
        <f t="shared" ca="1" si="366"/>
        <v>23</v>
      </c>
      <c r="Q824" s="304">
        <f t="shared" ca="1" si="367"/>
        <v>0</v>
      </c>
      <c r="R824" s="306">
        <f t="shared" ca="1" si="368"/>
        <v>0</v>
      </c>
      <c r="S824" s="307">
        <f t="shared" ca="1" si="369"/>
        <v>4.9929999999999914</v>
      </c>
      <c r="T824" s="304">
        <f t="shared" ca="1" si="349"/>
        <v>48.981329999999922</v>
      </c>
      <c r="U824" s="311">
        <f t="shared" ca="1" si="350"/>
        <v>0</v>
      </c>
      <c r="V824" s="306">
        <f t="shared" ca="1" si="351"/>
        <v>1.2257075186663453</v>
      </c>
      <c r="W824" s="304">
        <f t="shared" ca="1" si="352"/>
        <v>49.504709252967736</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-0.11261297501738454</v>
      </c>
      <c r="AH824" s="304">
        <f t="shared" ca="1" si="376"/>
        <v>-9.9148135502304271</v>
      </c>
    </row>
    <row r="825" spans="1:34" x14ac:dyDescent="0.2">
      <c r="A825" s="347">
        <f t="shared" ca="1" si="354"/>
        <v>1E-4</v>
      </c>
      <c r="B825" s="304">
        <f t="shared" ca="1" si="355"/>
        <v>43.902200000000384</v>
      </c>
      <c r="D825" s="306">
        <f t="shared" ca="1" si="356"/>
        <v>-0.39528157880382425</v>
      </c>
      <c r="E825" s="307">
        <f t="shared" ca="1" si="357"/>
        <v>9.6939976969780517E-2</v>
      </c>
      <c r="F825" s="304">
        <f t="shared" ca="1" si="358"/>
        <v>0.40699494551719623</v>
      </c>
      <c r="G825" s="306">
        <f t="shared" ca="1" si="359"/>
        <v>4.4481189306535711</v>
      </c>
      <c r="H825" s="307">
        <f t="shared" ca="1" si="360"/>
        <v>-111.48416063554316</v>
      </c>
      <c r="I825" s="304">
        <f t="shared" ca="1" si="361"/>
        <v>111.5728633433454</v>
      </c>
      <c r="J825" s="306">
        <f t="shared" ca="1" si="362"/>
        <v>928.20926186620727</v>
      </c>
      <c r="K825" s="307">
        <f t="shared" ca="1" si="363"/>
        <v>-5.785143566570679</v>
      </c>
      <c r="L825" s="304">
        <f t="shared" ca="1" si="348"/>
        <v>928.22728989202596</v>
      </c>
      <c r="M825" s="306">
        <f t="shared" ca="1" si="364"/>
        <v>-1.5309183676375098</v>
      </c>
      <c r="N825" s="304">
        <f t="shared" ca="1" si="365"/>
        <v>-87.715161244686669</v>
      </c>
      <c r="P825" s="310">
        <f t="shared" ca="1" si="366"/>
        <v>23</v>
      </c>
      <c r="Q825" s="304">
        <f t="shared" ca="1" si="367"/>
        <v>0</v>
      </c>
      <c r="R825" s="306">
        <f t="shared" ca="1" si="368"/>
        <v>0</v>
      </c>
      <c r="S825" s="307">
        <f t="shared" ca="1" si="369"/>
        <v>4.9929999999999914</v>
      </c>
      <c r="T825" s="304">
        <f t="shared" ca="1" si="349"/>
        <v>48.981329999999922</v>
      </c>
      <c r="U825" s="311">
        <f t="shared" ca="1" si="350"/>
        <v>0</v>
      </c>
      <c r="V825" s="306">
        <f t="shared" ca="1" si="351"/>
        <v>1.2257088851370193</v>
      </c>
      <c r="W825" s="304">
        <f t="shared" ca="1" si="352"/>
        <v>49.504754448879382</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-0.11262188992652078</v>
      </c>
      <c r="AH825" s="304">
        <f t="shared" ca="1" si="376"/>
        <v>-9.9148226022366952</v>
      </c>
    </row>
    <row r="826" spans="1:34" x14ac:dyDescent="0.2">
      <c r="A826" s="347">
        <f t="shared" ca="1" si="354"/>
        <v>1E-4</v>
      </c>
      <c r="B826" s="304">
        <f t="shared" ca="1" si="355"/>
        <v>43.902300000000388</v>
      </c>
      <c r="D826" s="306">
        <f t="shared" ca="1" si="356"/>
        <v>-0.39527846694308716</v>
      </c>
      <c r="E826" s="307">
        <f t="shared" ca="1" si="357"/>
        <v>9.6949160187929095E-2</v>
      </c>
      <c r="F826" s="304">
        <f t="shared" ca="1" si="358"/>
        <v>0.40699411063309254</v>
      </c>
      <c r="G826" s="306">
        <f t="shared" ca="1" si="359"/>
        <v>4.4480794028068766</v>
      </c>
      <c r="H826" s="307">
        <f t="shared" ca="1" si="360"/>
        <v>-111.48415094062715</v>
      </c>
      <c r="I826" s="304">
        <f t="shared" ca="1" si="361"/>
        <v>111.5728520802718</v>
      </c>
      <c r="J826" s="306">
        <f t="shared" ca="1" si="362"/>
        <v>928.20926186620727</v>
      </c>
      <c r="K826" s="307">
        <f t="shared" ca="1" si="363"/>
        <v>-5.7962919821494872</v>
      </c>
      <c r="L826" s="304">
        <f t="shared" ca="1" si="348"/>
        <v>928.22735944107558</v>
      </c>
      <c r="M826" s="306">
        <f t="shared" ca="1" si="364"/>
        <v>-1.530918718170005</v>
      </c>
      <c r="N826" s="304">
        <f t="shared" ca="1" si="365"/>
        <v>-87.715181328719225</v>
      </c>
      <c r="P826" s="310">
        <f t="shared" ca="1" si="366"/>
        <v>23</v>
      </c>
      <c r="Q826" s="304">
        <f t="shared" ca="1" si="367"/>
        <v>0</v>
      </c>
      <c r="R826" s="306">
        <f t="shared" ca="1" si="368"/>
        <v>0</v>
      </c>
      <c r="S826" s="307">
        <f t="shared" ca="1" si="369"/>
        <v>4.9929999999999914</v>
      </c>
      <c r="T826" s="304">
        <f t="shared" ca="1" si="349"/>
        <v>48.981329999999922</v>
      </c>
      <c r="U826" s="311">
        <f t="shared" ca="1" si="350"/>
        <v>0</v>
      </c>
      <c r="V826" s="306">
        <f t="shared" ca="1" si="351"/>
        <v>1.225710251609099</v>
      </c>
      <c r="W826" s="304">
        <f t="shared" ca="1" si="352"/>
        <v>49.504799644035451</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-0.1126308046867095</v>
      </c>
      <c r="AH826" s="304">
        <f t="shared" ca="1" si="376"/>
        <v>-9.9148316540916213</v>
      </c>
    </row>
    <row r="827" spans="1:34" x14ac:dyDescent="0.2">
      <c r="A827" s="347">
        <f t="shared" ca="1" si="354"/>
        <v>1E-4</v>
      </c>
      <c r="B827" s="304">
        <f t="shared" ca="1" si="355"/>
        <v>43.902400000000391</v>
      </c>
      <c r="D827" s="306">
        <f t="shared" ca="1" si="356"/>
        <v>-0.39527535510008666</v>
      </c>
      <c r="E827" s="307">
        <f t="shared" ca="1" si="357"/>
        <v>9.6958343252705248E-2</v>
      </c>
      <c r="F827" s="304">
        <f t="shared" ca="1" si="358"/>
        <v>0.40699327595896351</v>
      </c>
      <c r="G827" s="306">
        <f t="shared" ca="1" si="359"/>
        <v>4.448039875271367</v>
      </c>
      <c r="H827" s="307">
        <f t="shared" ca="1" si="360"/>
        <v>-111.48414124479282</v>
      </c>
      <c r="I827" s="304">
        <f t="shared" ca="1" si="361"/>
        <v>111.57284081630672</v>
      </c>
      <c r="J827" s="306">
        <f t="shared" ca="1" si="362"/>
        <v>928.20926186620727</v>
      </c>
      <c r="K827" s="307">
        <f t="shared" ca="1" si="363"/>
        <v>-5.807440396758758</v>
      </c>
      <c r="L827" s="304">
        <f t="shared" ca="1" si="348"/>
        <v>928.22742912401122</v>
      </c>
      <c r="M827" s="306">
        <f t="shared" ca="1" si="364"/>
        <v>-1.530919068699456</v>
      </c>
      <c r="N827" s="304">
        <f t="shared" ca="1" si="365"/>
        <v>-87.715201412577358</v>
      </c>
      <c r="P827" s="310">
        <f t="shared" ca="1" si="366"/>
        <v>23</v>
      </c>
      <c r="Q827" s="304">
        <f t="shared" ca="1" si="367"/>
        <v>0</v>
      </c>
      <c r="R827" s="306">
        <f t="shared" ca="1" si="368"/>
        <v>0</v>
      </c>
      <c r="S827" s="307">
        <f t="shared" ca="1" si="369"/>
        <v>4.9929999999999914</v>
      </c>
      <c r="T827" s="304">
        <f t="shared" ca="1" si="349"/>
        <v>48.981329999999922</v>
      </c>
      <c r="U827" s="311">
        <f t="shared" ca="1" si="350"/>
        <v>0</v>
      </c>
      <c r="V827" s="306">
        <f t="shared" ca="1" si="351"/>
        <v>1.2257116180825829</v>
      </c>
      <c r="W827" s="304">
        <f t="shared" ca="1" si="352"/>
        <v>49.504844838435858</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-0.11263971929796845</v>
      </c>
      <c r="AH827" s="304">
        <f t="shared" ca="1" si="376"/>
        <v>-9.9148407057952213</v>
      </c>
    </row>
    <row r="828" spans="1:34" x14ac:dyDescent="0.2">
      <c r="A828" s="347">
        <f t="shared" ca="1" si="354"/>
        <v>1E-4</v>
      </c>
      <c r="B828" s="304">
        <f t="shared" ca="1" si="355"/>
        <v>43.902500000000394</v>
      </c>
      <c r="D828" s="306">
        <f t="shared" ca="1" si="356"/>
        <v>-0.39527224327482219</v>
      </c>
      <c r="E828" s="307">
        <f t="shared" ca="1" si="357"/>
        <v>9.6967526164087658E-2</v>
      </c>
      <c r="F828" s="304">
        <f t="shared" ca="1" si="358"/>
        <v>0.40699244149479391</v>
      </c>
      <c r="G828" s="306">
        <f t="shared" ca="1" si="359"/>
        <v>4.4480003480470396</v>
      </c>
      <c r="H828" s="307">
        <f t="shared" ca="1" si="360"/>
        <v>-111.48413154804021</v>
      </c>
      <c r="I828" s="304">
        <f t="shared" ca="1" si="361"/>
        <v>111.57282955145021</v>
      </c>
      <c r="J828" s="306">
        <f t="shared" ca="1" si="362"/>
        <v>928.20926186620727</v>
      </c>
      <c r="K828" s="307">
        <f t="shared" ca="1" si="363"/>
        <v>-5.8185888103984</v>
      </c>
      <c r="L828" s="304">
        <f t="shared" ca="1" si="348"/>
        <v>928.2274989408329</v>
      </c>
      <c r="M828" s="306">
        <f t="shared" ca="1" si="364"/>
        <v>-1.5309194192258628</v>
      </c>
      <c r="N828" s="304">
        <f t="shared" ca="1" si="365"/>
        <v>-87.71522149626108</v>
      </c>
      <c r="P828" s="310">
        <f t="shared" ca="1" si="366"/>
        <v>23</v>
      </c>
      <c r="Q828" s="304">
        <f t="shared" ca="1" si="367"/>
        <v>0</v>
      </c>
      <c r="R828" s="306">
        <f t="shared" ca="1" si="368"/>
        <v>0</v>
      </c>
      <c r="S828" s="307">
        <f t="shared" ca="1" si="369"/>
        <v>4.9929999999999914</v>
      </c>
      <c r="T828" s="304">
        <f t="shared" ca="1" si="349"/>
        <v>48.981329999999922</v>
      </c>
      <c r="U828" s="311">
        <f t="shared" ca="1" si="350"/>
        <v>0</v>
      </c>
      <c r="V828" s="306">
        <f t="shared" ca="1" si="351"/>
        <v>1.2257129845574724</v>
      </c>
      <c r="W828" s="304">
        <f t="shared" ca="1" si="352"/>
        <v>49.504890032080702</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-0.11264863376027456</v>
      </c>
      <c r="AH828" s="304">
        <f t="shared" ca="1" si="376"/>
        <v>-9.9148497573474756</v>
      </c>
    </row>
    <row r="829" spans="1:34" x14ac:dyDescent="0.2">
      <c r="A829" s="347">
        <f t="shared" ca="1" si="354"/>
        <v>1E-4</v>
      </c>
      <c r="B829" s="304">
        <f t="shared" ca="1" si="355"/>
        <v>43.902600000000398</v>
      </c>
      <c r="D829" s="306">
        <f t="shared" ca="1" si="356"/>
        <v>-0.39526913146729492</v>
      </c>
      <c r="E829" s="307">
        <f t="shared" ca="1" si="357"/>
        <v>9.6976708922099419E-2</v>
      </c>
      <c r="F829" s="304">
        <f t="shared" ca="1" si="358"/>
        <v>0.40699160724058092</v>
      </c>
      <c r="G829" s="306">
        <f t="shared" ca="1" si="359"/>
        <v>4.4479608211338926</v>
      </c>
      <c r="H829" s="307">
        <f t="shared" ca="1" si="360"/>
        <v>-111.48412185036932</v>
      </c>
      <c r="I829" s="304">
        <f t="shared" ca="1" si="361"/>
        <v>111.57281828570225</v>
      </c>
      <c r="J829" s="306">
        <f t="shared" ca="1" si="362"/>
        <v>928.20926186620727</v>
      </c>
      <c r="K829" s="307">
        <f t="shared" ca="1" si="363"/>
        <v>-5.8297372230683209</v>
      </c>
      <c r="L829" s="304">
        <f t="shared" ca="1" si="348"/>
        <v>928.22756889154039</v>
      </c>
      <c r="M829" s="306">
        <f t="shared" ca="1" si="364"/>
        <v>-1.5309197697492256</v>
      </c>
      <c r="N829" s="304">
        <f t="shared" ca="1" si="365"/>
        <v>-87.715241579770392</v>
      </c>
      <c r="P829" s="310">
        <f t="shared" ca="1" si="366"/>
        <v>23</v>
      </c>
      <c r="Q829" s="304">
        <f t="shared" ca="1" si="367"/>
        <v>0</v>
      </c>
      <c r="R829" s="306">
        <f t="shared" ca="1" si="368"/>
        <v>0</v>
      </c>
      <c r="S829" s="307">
        <f t="shared" ca="1" si="369"/>
        <v>4.9929999999999914</v>
      </c>
      <c r="T829" s="304">
        <f t="shared" ca="1" si="349"/>
        <v>48.981329999999922</v>
      </c>
      <c r="U829" s="311">
        <f t="shared" ca="1" si="350"/>
        <v>0</v>
      </c>
      <c r="V829" s="306">
        <f t="shared" ca="1" si="351"/>
        <v>1.2257143510337667</v>
      </c>
      <c r="W829" s="304">
        <f t="shared" ca="1" si="352"/>
        <v>49.504935224969934</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-0.11265754807365091</v>
      </c>
      <c r="AH829" s="304">
        <f t="shared" ca="1" si="376"/>
        <v>-9.9148588087484057</v>
      </c>
    </row>
    <row r="830" spans="1:34" x14ac:dyDescent="0.2">
      <c r="A830" s="347">
        <f t="shared" ca="1" si="354"/>
        <v>1E-4</v>
      </c>
      <c r="B830" s="304">
        <f t="shared" ca="1" si="355"/>
        <v>43.902700000000401</v>
      </c>
      <c r="D830" s="306">
        <f t="shared" ca="1" si="356"/>
        <v>-0.39526601967750252</v>
      </c>
      <c r="E830" s="307">
        <f t="shared" ca="1" si="357"/>
        <v>9.6985891526728096E-2</v>
      </c>
      <c r="F830" s="304">
        <f t="shared" ca="1" si="358"/>
        <v>0.40699077319630977</v>
      </c>
      <c r="G830" s="306">
        <f t="shared" ca="1" si="359"/>
        <v>4.4479212945319251</v>
      </c>
      <c r="H830" s="307">
        <f t="shared" ca="1" si="360"/>
        <v>-111.48411215178017</v>
      </c>
      <c r="I830" s="304">
        <f t="shared" ca="1" si="361"/>
        <v>111.57280701906289</v>
      </c>
      <c r="J830" s="306">
        <f t="shared" ca="1" si="362"/>
        <v>928.20926186620727</v>
      </c>
      <c r="K830" s="307">
        <f t="shared" ca="1" si="363"/>
        <v>-5.8408856347684281</v>
      </c>
      <c r="L830" s="304">
        <f t="shared" ca="1" si="348"/>
        <v>928.22763897613379</v>
      </c>
      <c r="M830" s="306">
        <f t="shared" ca="1" si="364"/>
        <v>-1.5309201202695444</v>
      </c>
      <c r="N830" s="304">
        <f t="shared" ca="1" si="365"/>
        <v>-87.715261663105281</v>
      </c>
      <c r="P830" s="310">
        <f t="shared" ca="1" si="366"/>
        <v>23</v>
      </c>
      <c r="Q830" s="304">
        <f t="shared" ca="1" si="367"/>
        <v>0</v>
      </c>
      <c r="R830" s="306">
        <f t="shared" ca="1" si="368"/>
        <v>0</v>
      </c>
      <c r="S830" s="307">
        <f t="shared" ca="1" si="369"/>
        <v>4.9929999999999914</v>
      </c>
      <c r="T830" s="304">
        <f t="shared" ca="1" si="349"/>
        <v>48.981329999999922</v>
      </c>
      <c r="U830" s="311">
        <f t="shared" ca="1" si="350"/>
        <v>0</v>
      </c>
      <c r="V830" s="306">
        <f t="shared" ca="1" si="351"/>
        <v>1.2257157175114657</v>
      </c>
      <c r="W830" s="304">
        <f t="shared" ca="1" si="352"/>
        <v>49.504980417103582</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-0.11266646223809218</v>
      </c>
      <c r="AH830" s="304">
        <f t="shared" ca="1" si="376"/>
        <v>-9.9148678599980009</v>
      </c>
    </row>
    <row r="831" spans="1:34" x14ac:dyDescent="0.2">
      <c r="A831" s="347">
        <f t="shared" ca="1" si="354"/>
        <v>1E-4</v>
      </c>
      <c r="B831" s="304">
        <f t="shared" ca="1" si="355"/>
        <v>43.902800000000404</v>
      </c>
      <c r="D831" s="306">
        <f t="shared" ca="1" si="356"/>
        <v>-0.39526290790544544</v>
      </c>
      <c r="E831" s="307">
        <f t="shared" ca="1" si="357"/>
        <v>9.6995073977980795E-2</v>
      </c>
      <c r="F831" s="304">
        <f t="shared" ca="1" si="358"/>
        <v>0.4069899393619732</v>
      </c>
      <c r="G831" s="306">
        <f t="shared" ca="1" si="359"/>
        <v>4.4478817682411345</v>
      </c>
      <c r="H831" s="307">
        <f t="shared" ca="1" si="360"/>
        <v>-111.48410245227277</v>
      </c>
      <c r="I831" s="304">
        <f t="shared" ca="1" si="361"/>
        <v>111.57279575153211</v>
      </c>
      <c r="J831" s="306">
        <f t="shared" ca="1" si="362"/>
        <v>928.20926186620727</v>
      </c>
      <c r="K831" s="307">
        <f t="shared" ca="1" si="363"/>
        <v>-5.8520340454986304</v>
      </c>
      <c r="L831" s="304">
        <f t="shared" ca="1" si="348"/>
        <v>928.227709194613</v>
      </c>
      <c r="M831" s="306">
        <f t="shared" ca="1" si="364"/>
        <v>-1.5309204707868187</v>
      </c>
      <c r="N831" s="304">
        <f t="shared" ca="1" si="365"/>
        <v>-87.715281746265745</v>
      </c>
      <c r="P831" s="310">
        <f t="shared" ca="1" si="366"/>
        <v>23</v>
      </c>
      <c r="Q831" s="304">
        <f t="shared" ca="1" si="367"/>
        <v>0</v>
      </c>
      <c r="R831" s="306">
        <f t="shared" ca="1" si="368"/>
        <v>0</v>
      </c>
      <c r="S831" s="307">
        <f t="shared" ca="1" si="369"/>
        <v>4.9929999999999914</v>
      </c>
      <c r="T831" s="304">
        <f t="shared" ca="1" si="349"/>
        <v>48.981329999999922</v>
      </c>
      <c r="U831" s="311">
        <f t="shared" ca="1" si="350"/>
        <v>0</v>
      </c>
      <c r="V831" s="306">
        <f t="shared" ca="1" si="351"/>
        <v>1.2257170839905702</v>
      </c>
      <c r="W831" s="304">
        <f t="shared" ca="1" si="352"/>
        <v>49.505025608481674</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-0.11267537625359658</v>
      </c>
      <c r="AH831" s="304">
        <f t="shared" ca="1" si="376"/>
        <v>-9.9148769110962682</v>
      </c>
    </row>
    <row r="832" spans="1:34" x14ac:dyDescent="0.2">
      <c r="A832" s="347">
        <f t="shared" ca="1" si="354"/>
        <v>1E-4</v>
      </c>
      <c r="B832" s="304">
        <f t="shared" ca="1" si="355"/>
        <v>43.902900000000407</v>
      </c>
      <c r="D832" s="306">
        <f t="shared" ca="1" si="356"/>
        <v>-0.39525979615112855</v>
      </c>
      <c r="E832" s="307">
        <f t="shared" ca="1" si="357"/>
        <v>9.7004256275866396E-2</v>
      </c>
      <c r="F832" s="304">
        <f t="shared" ca="1" si="358"/>
        <v>0.40698910573756841</v>
      </c>
      <c r="G832" s="306">
        <f t="shared" ca="1" si="359"/>
        <v>4.4478422422615189</v>
      </c>
      <c r="H832" s="307">
        <f t="shared" ca="1" si="360"/>
        <v>-111.48409275184714</v>
      </c>
      <c r="I832" s="304">
        <f t="shared" ca="1" si="361"/>
        <v>111.57278448310996</v>
      </c>
      <c r="J832" s="306">
        <f t="shared" ca="1" si="362"/>
        <v>928.20926186620727</v>
      </c>
      <c r="K832" s="307">
        <f t="shared" ca="1" si="363"/>
        <v>-5.8631824552588361</v>
      </c>
      <c r="L832" s="304">
        <f t="shared" ca="1" si="348"/>
        <v>928.2277795469779</v>
      </c>
      <c r="M832" s="306">
        <f t="shared" ca="1" si="364"/>
        <v>-1.5309208213010492</v>
      </c>
      <c r="N832" s="304">
        <f t="shared" ca="1" si="365"/>
        <v>-87.715301829251814</v>
      </c>
      <c r="P832" s="310">
        <f t="shared" ca="1" si="366"/>
        <v>23</v>
      </c>
      <c r="Q832" s="304">
        <f t="shared" ca="1" si="367"/>
        <v>0</v>
      </c>
      <c r="R832" s="306">
        <f t="shared" ca="1" si="368"/>
        <v>0</v>
      </c>
      <c r="S832" s="307">
        <f t="shared" ca="1" si="369"/>
        <v>4.9929999999999914</v>
      </c>
      <c r="T832" s="304">
        <f t="shared" ca="1" si="349"/>
        <v>48.981329999999922</v>
      </c>
      <c r="U832" s="311">
        <f t="shared" ca="1" si="350"/>
        <v>0</v>
      </c>
      <c r="V832" s="306">
        <f t="shared" ca="1" si="351"/>
        <v>1.225718450471079</v>
      </c>
      <c r="W832" s="304">
        <f t="shared" ca="1" si="352"/>
        <v>49.505070799104175</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-0.112684290120173</v>
      </c>
      <c r="AH832" s="304">
        <f t="shared" ca="1" si="376"/>
        <v>-9.914885962043213</v>
      </c>
    </row>
    <row r="833" spans="1:34" x14ac:dyDescent="0.2">
      <c r="A833" s="347">
        <f t="shared" ca="1" si="354"/>
        <v>1E-4</v>
      </c>
      <c r="B833" s="304">
        <f t="shared" ca="1" si="355"/>
        <v>43.903000000000411</v>
      </c>
      <c r="D833" s="306">
        <f t="shared" ca="1" si="356"/>
        <v>-0.39525668441454515</v>
      </c>
      <c r="E833" s="307">
        <f t="shared" ca="1" si="357"/>
        <v>9.7013438420372466E-2</v>
      </c>
      <c r="F833" s="304">
        <f t="shared" ca="1" si="358"/>
        <v>0.40698827232307655</v>
      </c>
      <c r="G833" s="306">
        <f t="shared" ca="1" si="359"/>
        <v>4.4478027165930776</v>
      </c>
      <c r="H833" s="307">
        <f t="shared" ca="1" si="360"/>
        <v>-111.4840830505033</v>
      </c>
      <c r="I833" s="304">
        <f t="shared" ca="1" si="361"/>
        <v>111.57277321379642</v>
      </c>
      <c r="J833" s="306">
        <f t="shared" ca="1" si="362"/>
        <v>928.20926186620727</v>
      </c>
      <c r="K833" s="307">
        <f t="shared" ca="1" si="363"/>
        <v>-5.8743308640489538</v>
      </c>
      <c r="L833" s="304">
        <f t="shared" ca="1" si="348"/>
        <v>928.22785003322849</v>
      </c>
      <c r="M833" s="306">
        <f t="shared" ca="1" si="364"/>
        <v>-1.5309211718122357</v>
      </c>
      <c r="N833" s="304">
        <f t="shared" ca="1" si="365"/>
        <v>-87.715321912063473</v>
      </c>
      <c r="P833" s="310">
        <f t="shared" ca="1" si="366"/>
        <v>23</v>
      </c>
      <c r="Q833" s="304">
        <f t="shared" ca="1" si="367"/>
        <v>0</v>
      </c>
      <c r="R833" s="306">
        <f t="shared" ca="1" si="368"/>
        <v>0</v>
      </c>
      <c r="S833" s="307">
        <f t="shared" ca="1" si="369"/>
        <v>4.9929999999999914</v>
      </c>
      <c r="T833" s="304">
        <f t="shared" ca="1" si="349"/>
        <v>48.981329999999922</v>
      </c>
      <c r="U833" s="311">
        <f t="shared" ca="1" si="350"/>
        <v>0</v>
      </c>
      <c r="V833" s="306">
        <f t="shared" ca="1" si="351"/>
        <v>1.225719816952993</v>
      </c>
      <c r="W833" s="304">
        <f t="shared" ca="1" si="352"/>
        <v>49.505115988971156</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-0.11269320383781256</v>
      </c>
      <c r="AH833" s="304">
        <f t="shared" ca="1" si="376"/>
        <v>-9.9148950128388265</v>
      </c>
    </row>
    <row r="834" spans="1:34" x14ac:dyDescent="0.2">
      <c r="A834" s="347">
        <f t="shared" ca="1" si="354"/>
        <v>1E-4</v>
      </c>
      <c r="B834" s="304">
        <f t="shared" ca="1" si="355"/>
        <v>43.903100000000414</v>
      </c>
      <c r="D834" s="306">
        <f t="shared" ca="1" si="356"/>
        <v>-0.39525357269569827</v>
      </c>
      <c r="E834" s="307">
        <f t="shared" ca="1" si="357"/>
        <v>9.7022620411514993E-2</v>
      </c>
      <c r="F834" s="304">
        <f t="shared" ca="1" si="358"/>
        <v>0.40698743911849489</v>
      </c>
      <c r="G834" s="306">
        <f t="shared" ca="1" si="359"/>
        <v>4.4477631912358078</v>
      </c>
      <c r="H834" s="307">
        <f t="shared" ca="1" si="360"/>
        <v>-111.48407334824125</v>
      </c>
      <c r="I834" s="304">
        <f t="shared" ca="1" si="361"/>
        <v>111.57276194359154</v>
      </c>
      <c r="J834" s="306">
        <f t="shared" ca="1" si="362"/>
        <v>928.20926186620727</v>
      </c>
      <c r="K834" s="307">
        <f t="shared" ca="1" si="363"/>
        <v>-5.8854792718688911</v>
      </c>
      <c r="L834" s="304">
        <f t="shared" ca="1" si="348"/>
        <v>928.22792065336455</v>
      </c>
      <c r="M834" s="306">
        <f t="shared" ca="1" si="364"/>
        <v>-1.530921522320378</v>
      </c>
      <c r="N834" s="304">
        <f t="shared" ca="1" si="365"/>
        <v>-87.715341994700722</v>
      </c>
      <c r="P834" s="310">
        <f t="shared" ca="1" si="366"/>
        <v>23</v>
      </c>
      <c r="Q834" s="304">
        <f t="shared" ca="1" si="367"/>
        <v>0</v>
      </c>
      <c r="R834" s="306">
        <f t="shared" ca="1" si="368"/>
        <v>0</v>
      </c>
      <c r="S834" s="307">
        <f t="shared" ca="1" si="369"/>
        <v>4.9929999999999914</v>
      </c>
      <c r="T834" s="304">
        <f t="shared" ca="1" si="349"/>
        <v>48.981329999999922</v>
      </c>
      <c r="U834" s="311">
        <f t="shared" ca="1" si="350"/>
        <v>0</v>
      </c>
      <c r="V834" s="306">
        <f t="shared" ca="1" si="351"/>
        <v>1.2257211834363126</v>
      </c>
      <c r="W834" s="304">
        <f t="shared" ca="1" si="352"/>
        <v>49.505161178082616</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-0.11270211740653302</v>
      </c>
      <c r="AH834" s="304">
        <f t="shared" ca="1" si="376"/>
        <v>-9.9149040634831245</v>
      </c>
    </row>
    <row r="835" spans="1:34" x14ac:dyDescent="0.2">
      <c r="A835" s="347">
        <f t="shared" ca="1" si="354"/>
        <v>1E-4</v>
      </c>
      <c r="B835" s="304">
        <f t="shared" ca="1" si="355"/>
        <v>43.903200000000417</v>
      </c>
      <c r="D835" s="306">
        <f t="shared" ca="1" si="356"/>
        <v>-0.39525046099459044</v>
      </c>
      <c r="E835" s="307">
        <f t="shared" ca="1" si="357"/>
        <v>9.7031802249295751E-2</v>
      </c>
      <c r="F835" s="304">
        <f t="shared" ca="1" si="358"/>
        <v>0.40698660612381665</v>
      </c>
      <c r="G835" s="306">
        <f t="shared" ca="1" si="359"/>
        <v>4.4477236661897086</v>
      </c>
      <c r="H835" s="307">
        <f t="shared" ca="1" si="360"/>
        <v>-111.48406364506103</v>
      </c>
      <c r="I835" s="304">
        <f t="shared" ca="1" si="361"/>
        <v>111.5727506724953</v>
      </c>
      <c r="J835" s="306">
        <f t="shared" ca="1" si="362"/>
        <v>928.20926186620727</v>
      </c>
      <c r="K835" s="307">
        <f t="shared" ca="1" si="363"/>
        <v>-5.8966276787185565</v>
      </c>
      <c r="L835" s="304">
        <f t="shared" ca="1" si="348"/>
        <v>928.2279914073863</v>
      </c>
      <c r="M835" s="306">
        <f t="shared" ca="1" si="364"/>
        <v>-1.5309218728254765</v>
      </c>
      <c r="N835" s="304">
        <f t="shared" ca="1" si="365"/>
        <v>-87.715362077163562</v>
      </c>
      <c r="P835" s="310">
        <f t="shared" ca="1" si="366"/>
        <v>23</v>
      </c>
      <c r="Q835" s="304">
        <f t="shared" ca="1" si="367"/>
        <v>0</v>
      </c>
      <c r="R835" s="306">
        <f t="shared" ca="1" si="368"/>
        <v>0</v>
      </c>
      <c r="S835" s="307">
        <f t="shared" ca="1" si="369"/>
        <v>4.9929999999999914</v>
      </c>
      <c r="T835" s="304">
        <f t="shared" ca="1" si="349"/>
        <v>48.981329999999922</v>
      </c>
      <c r="U835" s="311">
        <f t="shared" ca="1" si="350"/>
        <v>0</v>
      </c>
      <c r="V835" s="306">
        <f t="shared" ca="1" si="351"/>
        <v>1.2257225499210362</v>
      </c>
      <c r="W835" s="304">
        <f t="shared" ca="1" si="352"/>
        <v>49.505206366438486</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-0.1127110308263326</v>
      </c>
      <c r="AH835" s="304">
        <f t="shared" ca="1" si="376"/>
        <v>-9.9149131139761071</v>
      </c>
    </row>
    <row r="836" spans="1:34" x14ac:dyDescent="0.2">
      <c r="A836" s="347">
        <f t="shared" ca="1" si="354"/>
        <v>1E-4</v>
      </c>
      <c r="B836" s="304">
        <f t="shared" ca="1" si="355"/>
        <v>43.903300000000421</v>
      </c>
      <c r="D836" s="306">
        <f t="shared" ca="1" si="356"/>
        <v>-0.3952473493112168</v>
      </c>
      <c r="E836" s="307">
        <f t="shared" ca="1" si="357"/>
        <v>9.7040983933698755E-2</v>
      </c>
      <c r="F836" s="304">
        <f t="shared" ca="1" si="358"/>
        <v>0.40698577333902397</v>
      </c>
      <c r="G836" s="306">
        <f t="shared" ca="1" si="359"/>
        <v>4.4476841414547774</v>
      </c>
      <c r="H836" s="307">
        <f t="shared" ca="1" si="360"/>
        <v>-111.48405394096264</v>
      </c>
      <c r="I836" s="304">
        <f t="shared" ca="1" si="361"/>
        <v>111.57273940050774</v>
      </c>
      <c r="J836" s="306">
        <f t="shared" ca="1" si="362"/>
        <v>928.20926186620727</v>
      </c>
      <c r="K836" s="307">
        <f t="shared" ca="1" si="363"/>
        <v>-5.9077760845978577</v>
      </c>
      <c r="L836" s="304">
        <f t="shared" ref="L836:L899" ca="1" si="377">SQRT(pos_x^2+pos_z^2)</f>
        <v>928.2280622952934</v>
      </c>
      <c r="M836" s="306">
        <f t="shared" ca="1" si="364"/>
        <v>-1.530922223327531</v>
      </c>
      <c r="N836" s="304">
        <f t="shared" ca="1" si="365"/>
        <v>-87.715382159451991</v>
      </c>
      <c r="P836" s="310">
        <f t="shared" ca="1" si="366"/>
        <v>23</v>
      </c>
      <c r="Q836" s="304">
        <f t="shared" ca="1" si="367"/>
        <v>0</v>
      </c>
      <c r="R836" s="306">
        <f t="shared" ca="1" si="368"/>
        <v>0</v>
      </c>
      <c r="S836" s="307">
        <f t="shared" ca="1" si="369"/>
        <v>4.9929999999999914</v>
      </c>
      <c r="T836" s="304">
        <f t="shared" ref="T836:T899" ca="1" si="378">m*g</f>
        <v>48.981329999999922</v>
      </c>
      <c r="U836" s="311">
        <f t="shared" ref="U836:U899" ca="1" si="379">IF(pos_xz&lt;L_rampe,Poids*COS(Beta),0)</f>
        <v>0</v>
      </c>
      <c r="V836" s="306">
        <f t="shared" ref="V836:V899" ca="1" si="380">Rho_moyen*(20000-Alt_rampe-pos_z)/(20000+Alt_rampe+pos_z)</f>
        <v>1.2257239164071652</v>
      </c>
      <c r="W836" s="304">
        <f t="shared" ref="W836:W899" ca="1" si="381">1/2*Rho*Sref*Cx*vit_xz^2</f>
        <v>49.505251554038864</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-0.11271994409719532</v>
      </c>
      <c r="AH836" s="304">
        <f t="shared" ca="1" si="376"/>
        <v>-9.9149221643177583</v>
      </c>
    </row>
    <row r="837" spans="1:34" x14ac:dyDescent="0.2">
      <c r="A837" s="347">
        <f t="shared" ref="A837:A900" ca="1" si="383">IF(B836+0.01&lt;=T_ini+ROUNDUP(Temps_fin_propu,0), 0.01, IF(K836&gt;0, 0.1, 0.0001))</f>
        <v>1E-4</v>
      </c>
      <c r="B837" s="304">
        <f t="shared" ref="B837:B900" ca="1" si="384">B836+pas</f>
        <v>43.903400000000424</v>
      </c>
      <c r="D837" s="306">
        <f t="shared" ref="D837:D900" ca="1" si="385">IF(AND(L836&lt;L_rampe,Poussee&lt;Poids*SIN(M836)),0,(-W836+Poussee)/m*COS(M836)-U836/m*SIN(M836))</f>
        <v>-0.39524423764558075</v>
      </c>
      <c r="E837" s="307">
        <f t="shared" ref="E837:E900" ca="1" si="386">IF(AND(L836&lt;L_rampe,Poussee&lt;Poids*SIN(M836)),0,(-W836+Poussee)/m*SIN(M836)+U836/m*COS(M836)-Poids/m)</f>
        <v>9.7050165464745319E-2</v>
      </c>
      <c r="F837" s="304">
        <f t="shared" ref="F837:F900" ca="1" si="387">SQRT(acc_x^2+acc_z^2)</f>
        <v>0.40698494076411568</v>
      </c>
      <c r="G837" s="306">
        <f t="shared" ref="G837:G900" ca="1" si="388">G836+acc_x*pas</f>
        <v>4.4476446170310124</v>
      </c>
      <c r="H837" s="307">
        <f t="shared" ref="H837:H900" ca="1" si="389">H836+acc_z*pas</f>
        <v>-111.48404423594609</v>
      </c>
      <c r="I837" s="304">
        <f t="shared" ref="I837:I900" ca="1" si="390">SQRT(vit_x^2+vit_z^2)</f>
        <v>111.57272812762888</v>
      </c>
      <c r="J837" s="306">
        <f t="shared" ref="J837:J900" ca="1" si="391">J836+0.5*(vit_x+G836)*pas*(K836&gt;=0)</f>
        <v>928.20926186620727</v>
      </c>
      <c r="K837" s="307">
        <f t="shared" ref="K837:K900" ca="1" si="392">K836+0.5*(vit_z+H836)*pas</f>
        <v>-5.9189244895067032</v>
      </c>
      <c r="L837" s="304">
        <f t="shared" ca="1" si="377"/>
        <v>928.22813331708585</v>
      </c>
      <c r="M837" s="306">
        <f t="shared" ref="M837:M900" ca="1" si="393">IF(AND(L836&gt;L_rampe,G837&gt;0),ATAN2(G837,H837),$M$4)</f>
        <v>-1.5309225738265417</v>
      </c>
      <c r="N837" s="304">
        <f t="shared" ref="N837:N900" ca="1" si="394">DEGREES(Beta)</f>
        <v>-87.715402241566025</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4.9929999999999914</v>
      </c>
      <c r="T837" s="304">
        <f t="shared" ca="1" si="378"/>
        <v>48.981329999999922</v>
      </c>
      <c r="U837" s="311">
        <f t="shared" ca="1" si="379"/>
        <v>0</v>
      </c>
      <c r="V837" s="306">
        <f t="shared" ca="1" si="380"/>
        <v>1.225725282894699</v>
      </c>
      <c r="W837" s="304">
        <f t="shared" ca="1" si="381"/>
        <v>49.505296740883736</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-0.11272885721914427</v>
      </c>
      <c r="AH837" s="304">
        <f t="shared" ref="AH837:AH900" ca="1" si="405">IF(AND(L836&lt;L_rampe,Poussee&lt;Poids*SIN(M836)), g*SIN(M836), (-W836+Poussee)/m)</f>
        <v>-9.9149312145081012</v>
      </c>
    </row>
    <row r="838" spans="1:34" x14ac:dyDescent="0.2">
      <c r="A838" s="347">
        <f t="shared" ca="1" si="383"/>
        <v>1E-4</v>
      </c>
      <c r="B838" s="304">
        <f t="shared" ca="1" si="384"/>
        <v>43.903500000000427</v>
      </c>
      <c r="D838" s="306">
        <f t="shared" ca="1" si="385"/>
        <v>-0.39524112599768008</v>
      </c>
      <c r="E838" s="307">
        <f t="shared" ca="1" si="386"/>
        <v>9.7059346842431893E-2</v>
      </c>
      <c r="F838" s="304">
        <f t="shared" ca="1" si="387"/>
        <v>0.40698410839907928</v>
      </c>
      <c r="G838" s="306">
        <f t="shared" ca="1" si="388"/>
        <v>4.4476050929184128</v>
      </c>
      <c r="H838" s="307">
        <f t="shared" ca="1" si="389"/>
        <v>-111.4840345300114</v>
      </c>
      <c r="I838" s="304">
        <f t="shared" ca="1" si="390"/>
        <v>111.57271685385871</v>
      </c>
      <c r="J838" s="306">
        <f t="shared" ca="1" si="391"/>
        <v>928.20926186620727</v>
      </c>
      <c r="K838" s="307">
        <f t="shared" ca="1" si="392"/>
        <v>-5.9300728934450015</v>
      </c>
      <c r="L838" s="304">
        <f t="shared" ca="1" si="377"/>
        <v>928.22820447276376</v>
      </c>
      <c r="M838" s="306">
        <f t="shared" ca="1" si="393"/>
        <v>-1.5309229243225084</v>
      </c>
      <c r="N838" s="304">
        <f t="shared" ca="1" si="394"/>
        <v>-87.715422323505663</v>
      </c>
      <c r="P838" s="310">
        <f t="shared" ca="1" si="395"/>
        <v>23</v>
      </c>
      <c r="Q838" s="304">
        <f t="shared" ca="1" si="396"/>
        <v>0</v>
      </c>
      <c r="R838" s="306">
        <f t="shared" ca="1" si="397"/>
        <v>0</v>
      </c>
      <c r="S838" s="307">
        <f t="shared" ca="1" si="398"/>
        <v>4.9929999999999914</v>
      </c>
      <c r="T838" s="304">
        <f t="shared" ca="1" si="378"/>
        <v>48.981329999999922</v>
      </c>
      <c r="U838" s="311">
        <f t="shared" ca="1" si="379"/>
        <v>0</v>
      </c>
      <c r="V838" s="306">
        <f t="shared" ca="1" si="380"/>
        <v>1.2257266493836378</v>
      </c>
      <c r="W838" s="304">
        <f t="shared" ca="1" si="381"/>
        <v>49.505341926973131</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-0.11273777019217412</v>
      </c>
      <c r="AH838" s="304">
        <f t="shared" ca="1" si="405"/>
        <v>-9.9149402645471305</v>
      </c>
    </row>
    <row r="839" spans="1:34" x14ac:dyDescent="0.2">
      <c r="A839" s="347">
        <f t="shared" ca="1" si="383"/>
        <v>1E-4</v>
      </c>
      <c r="B839" s="304">
        <f t="shared" ca="1" si="384"/>
        <v>43.903600000000431</v>
      </c>
      <c r="D839" s="306">
        <f t="shared" ca="1" si="385"/>
        <v>-0.39523801436751749</v>
      </c>
      <c r="E839" s="307">
        <f t="shared" ca="1" si="386"/>
        <v>9.7068528066763804E-2</v>
      </c>
      <c r="F839" s="304">
        <f t="shared" ca="1" si="387"/>
        <v>0.40698327624390912</v>
      </c>
      <c r="G839" s="306">
        <f t="shared" ca="1" si="388"/>
        <v>4.4475655691169758</v>
      </c>
      <c r="H839" s="307">
        <f t="shared" ca="1" si="389"/>
        <v>-111.48402482315859</v>
      </c>
      <c r="I839" s="304">
        <f t="shared" ca="1" si="390"/>
        <v>111.57270557919726</v>
      </c>
      <c r="J839" s="306">
        <f t="shared" ca="1" si="391"/>
        <v>928.20926186620727</v>
      </c>
      <c r="K839" s="307">
        <f t="shared" ca="1" si="392"/>
        <v>-5.9412212964126603</v>
      </c>
      <c r="L839" s="304">
        <f t="shared" ca="1" si="377"/>
        <v>928.2282757623268</v>
      </c>
      <c r="M839" s="306">
        <f t="shared" ca="1" si="393"/>
        <v>-1.5309232748154313</v>
      </c>
      <c r="N839" s="304">
        <f t="shared" ca="1" si="394"/>
        <v>-87.715442405270892</v>
      </c>
      <c r="P839" s="310">
        <f t="shared" ca="1" si="395"/>
        <v>23</v>
      </c>
      <c r="Q839" s="304">
        <f t="shared" ca="1" si="396"/>
        <v>0</v>
      </c>
      <c r="R839" s="306">
        <f t="shared" ca="1" si="397"/>
        <v>0</v>
      </c>
      <c r="S839" s="307">
        <f t="shared" ca="1" si="398"/>
        <v>4.9929999999999914</v>
      </c>
      <c r="T839" s="304">
        <f t="shared" ca="1" si="378"/>
        <v>48.981329999999922</v>
      </c>
      <c r="U839" s="311">
        <f t="shared" ca="1" si="379"/>
        <v>0</v>
      </c>
      <c r="V839" s="306">
        <f t="shared" ca="1" si="380"/>
        <v>1.2257280158739814</v>
      </c>
      <c r="W839" s="304">
        <f t="shared" ca="1" si="381"/>
        <v>49.505387112307012</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-0.11274668301629021</v>
      </c>
      <c r="AH839" s="304">
        <f t="shared" ca="1" si="405"/>
        <v>-9.9149493144348515</v>
      </c>
    </row>
    <row r="840" spans="1:34" x14ac:dyDescent="0.2">
      <c r="A840" s="347">
        <f t="shared" ca="1" si="383"/>
        <v>1E-4</v>
      </c>
      <c r="B840" s="304">
        <f t="shared" ca="1" si="384"/>
        <v>43.903700000000434</v>
      </c>
      <c r="D840" s="306">
        <f t="shared" ca="1" si="385"/>
        <v>-0.39523490275509082</v>
      </c>
      <c r="E840" s="307">
        <f t="shared" ca="1" si="386"/>
        <v>9.7077709137733947E-2</v>
      </c>
      <c r="F840" s="304">
        <f t="shared" ca="1" si="387"/>
        <v>0.40698244429859204</v>
      </c>
      <c r="G840" s="306">
        <f t="shared" ca="1" si="388"/>
        <v>4.4475260456267005</v>
      </c>
      <c r="H840" s="307">
        <f t="shared" ca="1" si="389"/>
        <v>-111.48401511538768</v>
      </c>
      <c r="I840" s="304">
        <f t="shared" ca="1" si="390"/>
        <v>111.57269430364455</v>
      </c>
      <c r="J840" s="306">
        <f t="shared" ca="1" si="391"/>
        <v>928.20926186620727</v>
      </c>
      <c r="K840" s="307">
        <f t="shared" ca="1" si="392"/>
        <v>-5.952369698409588</v>
      </c>
      <c r="L840" s="304">
        <f t="shared" ca="1" si="377"/>
        <v>928.22834718577508</v>
      </c>
      <c r="M840" s="306">
        <f t="shared" ca="1" si="393"/>
        <v>-1.5309236253053102</v>
      </c>
      <c r="N840" s="304">
        <f t="shared" ca="1" si="394"/>
        <v>-87.715462486861711</v>
      </c>
      <c r="P840" s="310">
        <f t="shared" ca="1" si="395"/>
        <v>23</v>
      </c>
      <c r="Q840" s="304">
        <f t="shared" ca="1" si="396"/>
        <v>0</v>
      </c>
      <c r="R840" s="306">
        <f t="shared" ca="1" si="397"/>
        <v>0</v>
      </c>
      <c r="S840" s="307">
        <f t="shared" ca="1" si="398"/>
        <v>4.9929999999999914</v>
      </c>
      <c r="T840" s="304">
        <f t="shared" ca="1" si="378"/>
        <v>48.981329999999922</v>
      </c>
      <c r="U840" s="311">
        <f t="shared" ca="1" si="379"/>
        <v>0</v>
      </c>
      <c r="V840" s="306">
        <f t="shared" ca="1" si="380"/>
        <v>1.22572938236573</v>
      </c>
      <c r="W840" s="304">
        <f t="shared" ca="1" si="381"/>
        <v>49.505432296885445</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-0.11275559569148719</v>
      </c>
      <c r="AH840" s="304">
        <f t="shared" ca="1" si="405"/>
        <v>-9.9149583641712589</v>
      </c>
    </row>
    <row r="841" spans="1:34" x14ac:dyDescent="0.2">
      <c r="A841" s="347">
        <f t="shared" ca="1" si="383"/>
        <v>1E-4</v>
      </c>
      <c r="B841" s="304">
        <f t="shared" ca="1" si="384"/>
        <v>43.903800000000437</v>
      </c>
      <c r="D841" s="306">
        <f t="shared" ca="1" si="385"/>
        <v>-0.39523179116040291</v>
      </c>
      <c r="E841" s="307">
        <f t="shared" ca="1" si="386"/>
        <v>9.7086890055356534E-2</v>
      </c>
      <c r="F841" s="304">
        <f t="shared" ca="1" si="387"/>
        <v>0.40698161256312454</v>
      </c>
      <c r="G841" s="306">
        <f t="shared" ca="1" si="388"/>
        <v>4.4474865224475844</v>
      </c>
      <c r="H841" s="307">
        <f t="shared" ca="1" si="389"/>
        <v>-111.48400540669867</v>
      </c>
      <c r="I841" s="304">
        <f t="shared" ca="1" si="390"/>
        <v>111.57268302720058</v>
      </c>
      <c r="J841" s="306">
        <f t="shared" ca="1" si="391"/>
        <v>928.20926186620727</v>
      </c>
      <c r="K841" s="307">
        <f t="shared" ca="1" si="392"/>
        <v>-5.9635180994356922</v>
      </c>
      <c r="L841" s="304">
        <f t="shared" ca="1" si="377"/>
        <v>928.22841874310848</v>
      </c>
      <c r="M841" s="306">
        <f t="shared" ca="1" si="393"/>
        <v>-1.5309239757921456</v>
      </c>
      <c r="N841" s="304">
        <f t="shared" ca="1" si="394"/>
        <v>-87.715482568278148</v>
      </c>
      <c r="P841" s="310">
        <f t="shared" ca="1" si="395"/>
        <v>23</v>
      </c>
      <c r="Q841" s="304">
        <f t="shared" ca="1" si="396"/>
        <v>0</v>
      </c>
      <c r="R841" s="306">
        <f t="shared" ca="1" si="397"/>
        <v>0</v>
      </c>
      <c r="S841" s="307">
        <f t="shared" ca="1" si="398"/>
        <v>4.9929999999999914</v>
      </c>
      <c r="T841" s="304">
        <f t="shared" ca="1" si="378"/>
        <v>48.981329999999922</v>
      </c>
      <c r="U841" s="311">
        <f t="shared" ca="1" si="379"/>
        <v>0</v>
      </c>
      <c r="V841" s="306">
        <f t="shared" ca="1" si="380"/>
        <v>1.2257307488588836</v>
      </c>
      <c r="W841" s="304">
        <f t="shared" ca="1" si="381"/>
        <v>49.5054774807084</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-0.1127645082177775</v>
      </c>
      <c r="AH841" s="304">
        <f t="shared" ca="1" si="405"/>
        <v>-9.914967413756365</v>
      </c>
    </row>
    <row r="842" spans="1:34" x14ac:dyDescent="0.2">
      <c r="A842" s="347">
        <f t="shared" ca="1" si="383"/>
        <v>1E-4</v>
      </c>
      <c r="B842" s="304">
        <f t="shared" ca="1" si="384"/>
        <v>43.903900000000441</v>
      </c>
      <c r="D842" s="306">
        <f t="shared" ca="1" si="385"/>
        <v>-0.39522867958344948</v>
      </c>
      <c r="E842" s="307">
        <f t="shared" ca="1" si="386"/>
        <v>9.7096070819624458E-2</v>
      </c>
      <c r="F842" s="304">
        <f t="shared" ca="1" si="387"/>
        <v>0.40698078103749141</v>
      </c>
      <c r="G842" s="306">
        <f t="shared" ca="1" si="388"/>
        <v>4.4474469995796264</v>
      </c>
      <c r="H842" s="307">
        <f t="shared" ca="1" si="389"/>
        <v>-111.48399569709159</v>
      </c>
      <c r="I842" s="304">
        <f t="shared" ca="1" si="390"/>
        <v>111.57267174986536</v>
      </c>
      <c r="J842" s="306">
        <f t="shared" ca="1" si="391"/>
        <v>928.20926186620727</v>
      </c>
      <c r="K842" s="307">
        <f t="shared" ca="1" si="392"/>
        <v>-5.9746664994908816</v>
      </c>
      <c r="L842" s="304">
        <f t="shared" ca="1" si="377"/>
        <v>928.228490434327</v>
      </c>
      <c r="M842" s="306">
        <f t="shared" ca="1" si="393"/>
        <v>-1.5309243262759369</v>
      </c>
      <c r="N842" s="304">
        <f t="shared" ca="1" si="394"/>
        <v>-87.715502649520175</v>
      </c>
      <c r="P842" s="310">
        <f t="shared" ca="1" si="395"/>
        <v>23</v>
      </c>
      <c r="Q842" s="304">
        <f t="shared" ca="1" si="396"/>
        <v>0</v>
      </c>
      <c r="R842" s="306">
        <f t="shared" ca="1" si="397"/>
        <v>0</v>
      </c>
      <c r="S842" s="307">
        <f t="shared" ca="1" si="398"/>
        <v>4.9929999999999914</v>
      </c>
      <c r="T842" s="304">
        <f t="shared" ca="1" si="378"/>
        <v>48.981329999999922</v>
      </c>
      <c r="U842" s="311">
        <f t="shared" ca="1" si="379"/>
        <v>0</v>
      </c>
      <c r="V842" s="306">
        <f t="shared" ca="1" si="380"/>
        <v>1.2257321153534413</v>
      </c>
      <c r="W842" s="304">
        <f t="shared" ca="1" si="381"/>
        <v>49.505522663775857</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-0.11277342059515405</v>
      </c>
      <c r="AH842" s="304">
        <f t="shared" ca="1" si="405"/>
        <v>-9.9149764631901629</v>
      </c>
    </row>
    <row r="843" spans="1:34" x14ac:dyDescent="0.2">
      <c r="A843" s="347">
        <f t="shared" ca="1" si="383"/>
        <v>1E-4</v>
      </c>
      <c r="B843" s="304">
        <f t="shared" ca="1" si="384"/>
        <v>43.904000000000444</v>
      </c>
      <c r="D843" s="306">
        <f t="shared" ca="1" si="385"/>
        <v>-0.39522556802423492</v>
      </c>
      <c r="E843" s="307">
        <f t="shared" ca="1" si="386"/>
        <v>9.7105251430534167E-2</v>
      </c>
      <c r="F843" s="304">
        <f t="shared" ca="1" si="387"/>
        <v>0.40697994972168638</v>
      </c>
      <c r="G843" s="306">
        <f t="shared" ca="1" si="388"/>
        <v>4.447407477022824</v>
      </c>
      <c r="H843" s="307">
        <f t="shared" ca="1" si="389"/>
        <v>-111.48398598656644</v>
      </c>
      <c r="I843" s="304">
        <f t="shared" ca="1" si="390"/>
        <v>111.57266047163893</v>
      </c>
      <c r="J843" s="306">
        <f t="shared" ca="1" si="391"/>
        <v>928.20926186620727</v>
      </c>
      <c r="K843" s="307">
        <f t="shared" ca="1" si="392"/>
        <v>-5.9858148985750645</v>
      </c>
      <c r="L843" s="304">
        <f t="shared" ca="1" si="377"/>
        <v>928.22856225943042</v>
      </c>
      <c r="M843" s="306">
        <f t="shared" ca="1" si="393"/>
        <v>-1.5309246767566846</v>
      </c>
      <c r="N843" s="304">
        <f t="shared" ca="1" si="394"/>
        <v>-87.715522730587836</v>
      </c>
      <c r="P843" s="310">
        <f t="shared" ca="1" si="395"/>
        <v>23</v>
      </c>
      <c r="Q843" s="304">
        <f t="shared" ca="1" si="396"/>
        <v>0</v>
      </c>
      <c r="R843" s="306">
        <f t="shared" ca="1" si="397"/>
        <v>0</v>
      </c>
      <c r="S843" s="307">
        <f t="shared" ca="1" si="398"/>
        <v>4.9929999999999914</v>
      </c>
      <c r="T843" s="304">
        <f t="shared" ca="1" si="378"/>
        <v>48.981329999999922</v>
      </c>
      <c r="U843" s="311">
        <f t="shared" ca="1" si="379"/>
        <v>0</v>
      </c>
      <c r="V843" s="306">
        <f t="shared" ca="1" si="380"/>
        <v>1.2257334818494048</v>
      </c>
      <c r="W843" s="304">
        <f t="shared" ca="1" si="381"/>
        <v>49.505567846087914</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-0.11278233282361505</v>
      </c>
      <c r="AH843" s="304">
        <f t="shared" ca="1" si="405"/>
        <v>-9.9149855124726507</v>
      </c>
    </row>
    <row r="844" spans="1:34" x14ac:dyDescent="0.2">
      <c r="A844" s="347">
        <f t="shared" ca="1" si="383"/>
        <v>1E-4</v>
      </c>
      <c r="B844" s="304">
        <f t="shared" ca="1" si="384"/>
        <v>43.904100000000447</v>
      </c>
      <c r="D844" s="306">
        <f t="shared" ca="1" si="385"/>
        <v>-0.39522245648275584</v>
      </c>
      <c r="E844" s="307">
        <f t="shared" ca="1" si="386"/>
        <v>9.7114431888103425E-2</v>
      </c>
      <c r="F844" s="304">
        <f t="shared" ca="1" si="387"/>
        <v>0.40697911861570107</v>
      </c>
      <c r="G844" s="306">
        <f t="shared" ca="1" si="388"/>
        <v>4.4473679547771754</v>
      </c>
      <c r="H844" s="307">
        <f t="shared" ca="1" si="389"/>
        <v>-111.48397627512325</v>
      </c>
      <c r="I844" s="304">
        <f t="shared" ca="1" si="390"/>
        <v>111.5726491925213</v>
      </c>
      <c r="J844" s="306">
        <f t="shared" ca="1" si="391"/>
        <v>928.20926186620727</v>
      </c>
      <c r="K844" s="307">
        <f t="shared" ca="1" si="392"/>
        <v>-5.9969632966881488</v>
      </c>
      <c r="L844" s="304">
        <f t="shared" ca="1" si="377"/>
        <v>928.22863421841885</v>
      </c>
      <c r="M844" s="306">
        <f t="shared" ca="1" si="393"/>
        <v>-1.5309250272343886</v>
      </c>
      <c r="N844" s="304">
        <f t="shared" ca="1" si="394"/>
        <v>-87.715542811481086</v>
      </c>
      <c r="P844" s="310">
        <f t="shared" ca="1" si="395"/>
        <v>23</v>
      </c>
      <c r="Q844" s="304">
        <f t="shared" ca="1" si="396"/>
        <v>0</v>
      </c>
      <c r="R844" s="306">
        <f t="shared" ca="1" si="397"/>
        <v>0</v>
      </c>
      <c r="S844" s="307">
        <f t="shared" ca="1" si="398"/>
        <v>4.9929999999999914</v>
      </c>
      <c r="T844" s="304">
        <f t="shared" ca="1" si="378"/>
        <v>48.981329999999922</v>
      </c>
      <c r="U844" s="311">
        <f t="shared" ca="1" si="379"/>
        <v>0</v>
      </c>
      <c r="V844" s="306">
        <f t="shared" ca="1" si="380"/>
        <v>1.2257348483467729</v>
      </c>
      <c r="W844" s="304">
        <f t="shared" ca="1" si="381"/>
        <v>49.505613027644529</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-0.11279124490317471</v>
      </c>
      <c r="AH844" s="304">
        <f t="shared" ca="1" si="405"/>
        <v>-9.9149945616038444</v>
      </c>
    </row>
    <row r="845" spans="1:34" x14ac:dyDescent="0.2">
      <c r="A845" s="347">
        <f t="shared" ca="1" si="383"/>
        <v>1E-4</v>
      </c>
      <c r="B845" s="304">
        <f t="shared" ca="1" si="384"/>
        <v>43.904200000000451</v>
      </c>
      <c r="D845" s="306">
        <f t="shared" ca="1" si="385"/>
        <v>-0.39521934495901451</v>
      </c>
      <c r="E845" s="307">
        <f t="shared" ca="1" si="386"/>
        <v>9.7123612192328679E-2</v>
      </c>
      <c r="F845" s="304">
        <f t="shared" ca="1" si="387"/>
        <v>0.40697828771952732</v>
      </c>
      <c r="G845" s="306">
        <f t="shared" ca="1" si="388"/>
        <v>4.4473284328426796</v>
      </c>
      <c r="H845" s="307">
        <f t="shared" ca="1" si="389"/>
        <v>-111.48396656276203</v>
      </c>
      <c r="I845" s="304">
        <f t="shared" ca="1" si="390"/>
        <v>111.57263791251246</v>
      </c>
      <c r="J845" s="306">
        <f t="shared" ca="1" si="391"/>
        <v>928.20926186620727</v>
      </c>
      <c r="K845" s="307">
        <f t="shared" ca="1" si="392"/>
        <v>-6.0081116938300427</v>
      </c>
      <c r="L845" s="304">
        <f t="shared" ca="1" si="377"/>
        <v>928.22870631129206</v>
      </c>
      <c r="M845" s="306">
        <f t="shared" ca="1" si="393"/>
        <v>-1.530925377709049</v>
      </c>
      <c r="N845" s="304">
        <f t="shared" ca="1" si="394"/>
        <v>-87.715562892199941</v>
      </c>
      <c r="P845" s="310">
        <f t="shared" ca="1" si="395"/>
        <v>23</v>
      </c>
      <c r="Q845" s="304">
        <f t="shared" ca="1" si="396"/>
        <v>0</v>
      </c>
      <c r="R845" s="306">
        <f t="shared" ca="1" si="397"/>
        <v>0</v>
      </c>
      <c r="S845" s="307">
        <f t="shared" ca="1" si="398"/>
        <v>4.9929999999999914</v>
      </c>
      <c r="T845" s="304">
        <f t="shared" ca="1" si="378"/>
        <v>48.981329999999922</v>
      </c>
      <c r="U845" s="311">
        <f t="shared" ca="1" si="379"/>
        <v>0</v>
      </c>
      <c r="V845" s="306">
        <f t="shared" ca="1" si="380"/>
        <v>1.2257362148455455</v>
      </c>
      <c r="W845" s="304">
        <f t="shared" ca="1" si="381"/>
        <v>49.505658208445702</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-0.11280015683383127</v>
      </c>
      <c r="AH845" s="304">
        <f t="shared" ca="1" si="405"/>
        <v>-9.9150036105837405</v>
      </c>
    </row>
    <row r="846" spans="1:34" x14ac:dyDescent="0.2">
      <c r="A846" s="347">
        <f t="shared" ca="1" si="383"/>
        <v>1E-4</v>
      </c>
      <c r="B846" s="304">
        <f t="shared" ca="1" si="384"/>
        <v>43.904300000000454</v>
      </c>
      <c r="D846" s="306">
        <f t="shared" ca="1" si="385"/>
        <v>-0.39521623345300883</v>
      </c>
      <c r="E846" s="307">
        <f t="shared" ca="1" si="386"/>
        <v>9.7132792343206376E-2</v>
      </c>
      <c r="F846" s="304">
        <f t="shared" ca="1" si="387"/>
        <v>0.40697745703315269</v>
      </c>
      <c r="G846" s="306">
        <f t="shared" ca="1" si="388"/>
        <v>4.4472889112193341</v>
      </c>
      <c r="H846" s="307">
        <f t="shared" ca="1" si="389"/>
        <v>-111.48395684948279</v>
      </c>
      <c r="I846" s="304">
        <f t="shared" ca="1" si="390"/>
        <v>111.57262663161245</v>
      </c>
      <c r="J846" s="306">
        <f t="shared" ca="1" si="391"/>
        <v>928.20926186620727</v>
      </c>
      <c r="K846" s="307">
        <f t="shared" ca="1" si="392"/>
        <v>-6.019260090000655</v>
      </c>
      <c r="L846" s="304">
        <f t="shared" ca="1" si="377"/>
        <v>928.22877853805005</v>
      </c>
      <c r="M846" s="306">
        <f t="shared" ca="1" si="393"/>
        <v>-1.5309257281806656</v>
      </c>
      <c r="N846" s="304">
        <f t="shared" ca="1" si="394"/>
        <v>-87.715582972744414</v>
      </c>
      <c r="P846" s="310">
        <f t="shared" ca="1" si="395"/>
        <v>23</v>
      </c>
      <c r="Q846" s="304">
        <f t="shared" ca="1" si="396"/>
        <v>0</v>
      </c>
      <c r="R846" s="306">
        <f t="shared" ca="1" si="397"/>
        <v>0</v>
      </c>
      <c r="S846" s="307">
        <f t="shared" ca="1" si="398"/>
        <v>4.9929999999999914</v>
      </c>
      <c r="T846" s="304">
        <f t="shared" ca="1" si="378"/>
        <v>48.981329999999922</v>
      </c>
      <c r="U846" s="311">
        <f t="shared" ca="1" si="379"/>
        <v>0</v>
      </c>
      <c r="V846" s="306">
        <f t="shared" ca="1" si="380"/>
        <v>1.225737581345723</v>
      </c>
      <c r="W846" s="304">
        <f t="shared" ca="1" si="381"/>
        <v>49.505703388491469</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-0.11280906861558115</v>
      </c>
      <c r="AH846" s="304">
        <f t="shared" ca="1" si="405"/>
        <v>-9.9150126594123353</v>
      </c>
    </row>
    <row r="847" spans="1:34" x14ac:dyDescent="0.2">
      <c r="A847" s="347">
        <f t="shared" ca="1" si="383"/>
        <v>1E-4</v>
      </c>
      <c r="B847" s="304">
        <f t="shared" ca="1" si="384"/>
        <v>43.904400000000457</v>
      </c>
      <c r="D847" s="306">
        <f t="shared" ca="1" si="385"/>
        <v>-0.39521312196474145</v>
      </c>
      <c r="E847" s="307">
        <f t="shared" ca="1" si="386"/>
        <v>9.7141972340741845E-2</v>
      </c>
      <c r="F847" s="304">
        <f t="shared" ca="1" si="387"/>
        <v>0.40697662655657152</v>
      </c>
      <c r="G847" s="306">
        <f t="shared" ca="1" si="388"/>
        <v>4.4472493899071379</v>
      </c>
      <c r="H847" s="307">
        <f t="shared" ca="1" si="389"/>
        <v>-111.48394713528556</v>
      </c>
      <c r="I847" s="304">
        <f t="shared" ca="1" si="390"/>
        <v>111.57261534982128</v>
      </c>
      <c r="J847" s="306">
        <f t="shared" ca="1" si="391"/>
        <v>928.20926186620727</v>
      </c>
      <c r="K847" s="307">
        <f t="shared" ca="1" si="392"/>
        <v>-6.0304084851998931</v>
      </c>
      <c r="L847" s="304">
        <f t="shared" ca="1" si="377"/>
        <v>928.22885089869283</v>
      </c>
      <c r="M847" s="306">
        <f t="shared" ca="1" si="393"/>
        <v>-1.5309260786492387</v>
      </c>
      <c r="N847" s="304">
        <f t="shared" ca="1" si="394"/>
        <v>-87.715603053114506</v>
      </c>
      <c r="P847" s="310">
        <f t="shared" ca="1" si="395"/>
        <v>23</v>
      </c>
      <c r="Q847" s="304">
        <f t="shared" ca="1" si="396"/>
        <v>0</v>
      </c>
      <c r="R847" s="306">
        <f t="shared" ca="1" si="397"/>
        <v>0</v>
      </c>
      <c r="S847" s="307">
        <f t="shared" ca="1" si="398"/>
        <v>4.9929999999999914</v>
      </c>
      <c r="T847" s="304">
        <f t="shared" ca="1" si="378"/>
        <v>48.981329999999922</v>
      </c>
      <c r="U847" s="311">
        <f t="shared" ca="1" si="379"/>
        <v>0</v>
      </c>
      <c r="V847" s="306">
        <f t="shared" ca="1" si="380"/>
        <v>1.2257389478473055</v>
      </c>
      <c r="W847" s="304">
        <f t="shared" ca="1" si="381"/>
        <v>49.505748567781836</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-0.11281798024843148</v>
      </c>
      <c r="AH847" s="304">
        <f t="shared" ca="1" si="405"/>
        <v>-9.9150217080896361</v>
      </c>
    </row>
    <row r="848" spans="1:34" x14ac:dyDescent="0.2">
      <c r="A848" s="347">
        <f t="shared" ca="1" si="383"/>
        <v>1E-4</v>
      </c>
      <c r="B848" s="304">
        <f t="shared" ca="1" si="384"/>
        <v>43.904500000000461</v>
      </c>
      <c r="D848" s="306">
        <f t="shared" ca="1" si="385"/>
        <v>-0.39521001049421067</v>
      </c>
      <c r="E848" s="307">
        <f t="shared" ca="1" si="386"/>
        <v>9.7151152184940415E-2</v>
      </c>
      <c r="F848" s="304">
        <f t="shared" ca="1" si="387"/>
        <v>0.40697579628977387</v>
      </c>
      <c r="G848" s="306">
        <f t="shared" ca="1" si="388"/>
        <v>4.4472098689060884</v>
      </c>
      <c r="H848" s="307">
        <f t="shared" ca="1" si="389"/>
        <v>-111.48393742017035</v>
      </c>
      <c r="I848" s="304">
        <f t="shared" ca="1" si="390"/>
        <v>111.57260406713897</v>
      </c>
      <c r="J848" s="306">
        <f t="shared" ca="1" si="391"/>
        <v>928.20926186620727</v>
      </c>
      <c r="K848" s="307">
        <f t="shared" ca="1" si="392"/>
        <v>-6.0415568794276657</v>
      </c>
      <c r="L848" s="304">
        <f t="shared" ca="1" si="377"/>
        <v>928.22892339322016</v>
      </c>
      <c r="M848" s="306">
        <f t="shared" ca="1" si="393"/>
        <v>-1.5309264291147682</v>
      </c>
      <c r="N848" s="304">
        <f t="shared" ca="1" si="394"/>
        <v>-87.715623133310217</v>
      </c>
      <c r="P848" s="310">
        <f t="shared" ca="1" si="395"/>
        <v>23</v>
      </c>
      <c r="Q848" s="304">
        <f t="shared" ca="1" si="396"/>
        <v>0</v>
      </c>
      <c r="R848" s="306">
        <f t="shared" ca="1" si="397"/>
        <v>0</v>
      </c>
      <c r="S848" s="307">
        <f t="shared" ca="1" si="398"/>
        <v>4.9929999999999914</v>
      </c>
      <c r="T848" s="304">
        <f t="shared" ca="1" si="378"/>
        <v>48.981329999999922</v>
      </c>
      <c r="U848" s="311">
        <f t="shared" ca="1" si="379"/>
        <v>0</v>
      </c>
      <c r="V848" s="306">
        <f t="shared" ca="1" si="380"/>
        <v>1.2257403143502927</v>
      </c>
      <c r="W848" s="304">
        <f t="shared" ca="1" si="381"/>
        <v>49.505793746316819</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-0.1128268917323858</v>
      </c>
      <c r="AH848" s="304">
        <f t="shared" ca="1" si="405"/>
        <v>-9.9150307566156464</v>
      </c>
    </row>
    <row r="849" spans="1:34" x14ac:dyDescent="0.2">
      <c r="A849" s="347">
        <f t="shared" ca="1" si="383"/>
        <v>1E-4</v>
      </c>
      <c r="B849" s="304">
        <f t="shared" ca="1" si="384"/>
        <v>43.904600000000464</v>
      </c>
      <c r="D849" s="306">
        <f t="shared" ca="1" si="385"/>
        <v>-0.39520689904141687</v>
      </c>
      <c r="E849" s="307">
        <f t="shared" ca="1" si="386"/>
        <v>9.7160331875803863E-2</v>
      </c>
      <c r="F849" s="304">
        <f t="shared" ca="1" si="387"/>
        <v>0.40697496623275126</v>
      </c>
      <c r="G849" s="306">
        <f t="shared" ca="1" si="388"/>
        <v>4.4471703482161846</v>
      </c>
      <c r="H849" s="307">
        <f t="shared" ca="1" si="389"/>
        <v>-111.48392770413716</v>
      </c>
      <c r="I849" s="304">
        <f t="shared" ca="1" si="390"/>
        <v>111.57259278356551</v>
      </c>
      <c r="J849" s="306">
        <f t="shared" ca="1" si="391"/>
        <v>928.20926186620727</v>
      </c>
      <c r="K849" s="307">
        <f t="shared" ca="1" si="392"/>
        <v>-6.0527052726838813</v>
      </c>
      <c r="L849" s="304">
        <f t="shared" ca="1" si="377"/>
        <v>928.22899602163227</v>
      </c>
      <c r="M849" s="306">
        <f t="shared" ca="1" si="393"/>
        <v>-1.5309267795772539</v>
      </c>
      <c r="N849" s="304">
        <f t="shared" ca="1" si="394"/>
        <v>-87.715643213331518</v>
      </c>
      <c r="P849" s="310">
        <f t="shared" ca="1" si="395"/>
        <v>23</v>
      </c>
      <c r="Q849" s="304">
        <f t="shared" ca="1" si="396"/>
        <v>0</v>
      </c>
      <c r="R849" s="306">
        <f t="shared" ca="1" si="397"/>
        <v>0</v>
      </c>
      <c r="S849" s="307">
        <f t="shared" ca="1" si="398"/>
        <v>4.9929999999999914</v>
      </c>
      <c r="T849" s="304">
        <f t="shared" ca="1" si="378"/>
        <v>48.981329999999922</v>
      </c>
      <c r="U849" s="311">
        <f t="shared" ca="1" si="379"/>
        <v>0</v>
      </c>
      <c r="V849" s="306">
        <f t="shared" ca="1" si="380"/>
        <v>1.2257416808546848</v>
      </c>
      <c r="W849" s="304">
        <f t="shared" ca="1" si="381"/>
        <v>49.505838924096402</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-0.11283580306744589</v>
      </c>
      <c r="AH849" s="304">
        <f t="shared" ca="1" si="405"/>
        <v>-9.9150398049903679</v>
      </c>
    </row>
    <row r="850" spans="1:34" x14ac:dyDescent="0.2">
      <c r="A850" s="347">
        <f t="shared" ca="1" si="383"/>
        <v>1E-4</v>
      </c>
      <c r="B850" s="304">
        <f t="shared" ca="1" si="384"/>
        <v>43.904700000000467</v>
      </c>
      <c r="D850" s="306">
        <f t="shared" ca="1" si="385"/>
        <v>-0.3952037876063621</v>
      </c>
      <c r="E850" s="307">
        <f t="shared" ca="1" si="386"/>
        <v>9.7169511413328635E-2</v>
      </c>
      <c r="F850" s="304">
        <f t="shared" ca="1" si="387"/>
        <v>0.40697413638549512</v>
      </c>
      <c r="G850" s="306">
        <f t="shared" ca="1" si="388"/>
        <v>4.447130827837424</v>
      </c>
      <c r="H850" s="307">
        <f t="shared" ca="1" si="389"/>
        <v>-111.48391798718602</v>
      </c>
      <c r="I850" s="304">
        <f t="shared" ca="1" si="390"/>
        <v>111.57258149910093</v>
      </c>
      <c r="J850" s="306">
        <f t="shared" ca="1" si="391"/>
        <v>928.20926186620727</v>
      </c>
      <c r="K850" s="307">
        <f t="shared" ca="1" si="392"/>
        <v>-6.0638536649684474</v>
      </c>
      <c r="L850" s="304">
        <f t="shared" ca="1" si="377"/>
        <v>928.22906878392871</v>
      </c>
      <c r="M850" s="306">
        <f t="shared" ca="1" si="393"/>
        <v>-1.5309271300366962</v>
      </c>
      <c r="N850" s="304">
        <f t="shared" ca="1" si="394"/>
        <v>-87.715663293178451</v>
      </c>
      <c r="P850" s="310">
        <f t="shared" ca="1" si="395"/>
        <v>23</v>
      </c>
      <c r="Q850" s="304">
        <f t="shared" ca="1" si="396"/>
        <v>0</v>
      </c>
      <c r="R850" s="306">
        <f t="shared" ca="1" si="397"/>
        <v>0</v>
      </c>
      <c r="S850" s="307">
        <f t="shared" ca="1" si="398"/>
        <v>4.9929999999999914</v>
      </c>
      <c r="T850" s="304">
        <f t="shared" ca="1" si="378"/>
        <v>48.981329999999922</v>
      </c>
      <c r="U850" s="311">
        <f t="shared" ca="1" si="379"/>
        <v>0</v>
      </c>
      <c r="V850" s="306">
        <f t="shared" ca="1" si="380"/>
        <v>1.2257430473604818</v>
      </c>
      <c r="W850" s="304">
        <f t="shared" ca="1" si="381"/>
        <v>49.505884101120614</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-0.1128447142536082</v>
      </c>
      <c r="AH850" s="304">
        <f t="shared" ca="1" si="405"/>
        <v>-9.915048853213797</v>
      </c>
    </row>
    <row r="851" spans="1:34" x14ac:dyDescent="0.2">
      <c r="A851" s="347">
        <f t="shared" ca="1" si="383"/>
        <v>1E-4</v>
      </c>
      <c r="B851" s="304">
        <f t="shared" ca="1" si="384"/>
        <v>43.904800000000471</v>
      </c>
      <c r="D851" s="306">
        <f t="shared" ca="1" si="385"/>
        <v>-0.39520067618904264</v>
      </c>
      <c r="E851" s="307">
        <f t="shared" ca="1" si="386"/>
        <v>9.7178690797520062E-2</v>
      </c>
      <c r="F851" s="304">
        <f t="shared" ca="1" si="387"/>
        <v>0.40697330674799365</v>
      </c>
      <c r="G851" s="306">
        <f t="shared" ca="1" si="388"/>
        <v>4.4470913077698047</v>
      </c>
      <c r="H851" s="307">
        <f t="shared" ca="1" si="389"/>
        <v>-111.48390826931694</v>
      </c>
      <c r="I851" s="304">
        <f t="shared" ca="1" si="390"/>
        <v>111.57257021374527</v>
      </c>
      <c r="J851" s="306">
        <f t="shared" ca="1" si="391"/>
        <v>928.20926186620727</v>
      </c>
      <c r="K851" s="307">
        <f t="shared" ca="1" si="392"/>
        <v>-6.0750020562812725</v>
      </c>
      <c r="L851" s="304">
        <f t="shared" ca="1" si="377"/>
        <v>928.22914168010971</v>
      </c>
      <c r="M851" s="306">
        <f t="shared" ca="1" si="393"/>
        <v>-1.530927480493095</v>
      </c>
      <c r="N851" s="304">
        <f t="shared" ca="1" si="394"/>
        <v>-87.715683372851018</v>
      </c>
      <c r="P851" s="310">
        <f t="shared" ca="1" si="395"/>
        <v>23</v>
      </c>
      <c r="Q851" s="304">
        <f t="shared" ca="1" si="396"/>
        <v>0</v>
      </c>
      <c r="R851" s="306">
        <f t="shared" ca="1" si="397"/>
        <v>0</v>
      </c>
      <c r="S851" s="307">
        <f t="shared" ca="1" si="398"/>
        <v>4.9929999999999914</v>
      </c>
      <c r="T851" s="304">
        <f t="shared" ca="1" si="378"/>
        <v>48.981329999999922</v>
      </c>
      <c r="U851" s="311">
        <f t="shared" ca="1" si="379"/>
        <v>0</v>
      </c>
      <c r="V851" s="306">
        <f t="shared" ca="1" si="380"/>
        <v>1.2257444138676832</v>
      </c>
      <c r="W851" s="304">
        <f t="shared" ca="1" si="381"/>
        <v>49.50592927738947</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-0.1128536252908745</v>
      </c>
      <c r="AH851" s="304">
        <f t="shared" ca="1" si="405"/>
        <v>-9.9150579012859392</v>
      </c>
    </row>
    <row r="852" spans="1:34" x14ac:dyDescent="0.2">
      <c r="A852" s="347">
        <f t="shared" ca="1" si="383"/>
        <v>1E-4</v>
      </c>
      <c r="B852" s="304">
        <f t="shared" ca="1" si="384"/>
        <v>43.904900000000474</v>
      </c>
      <c r="D852" s="306">
        <f t="shared" ca="1" si="385"/>
        <v>-0.39519756478946094</v>
      </c>
      <c r="E852" s="307">
        <f t="shared" ca="1" si="386"/>
        <v>9.7187870028381695E-2</v>
      </c>
      <c r="F852" s="304">
        <f t="shared" ca="1" si="387"/>
        <v>0.40697247732024067</v>
      </c>
      <c r="G852" s="306">
        <f t="shared" ca="1" si="388"/>
        <v>4.4470517880133258</v>
      </c>
      <c r="H852" s="307">
        <f t="shared" ca="1" si="389"/>
        <v>-111.48389855052994</v>
      </c>
      <c r="I852" s="304">
        <f t="shared" ca="1" si="390"/>
        <v>111.57255892749851</v>
      </c>
      <c r="J852" s="306">
        <f t="shared" ca="1" si="391"/>
        <v>928.20926186620727</v>
      </c>
      <c r="K852" s="307">
        <f t="shared" ca="1" si="392"/>
        <v>-6.0861504466222645</v>
      </c>
      <c r="L852" s="304">
        <f t="shared" ca="1" si="377"/>
        <v>928.22921471017503</v>
      </c>
      <c r="M852" s="306">
        <f t="shared" ca="1" si="393"/>
        <v>-1.5309278309464505</v>
      </c>
      <c r="N852" s="304">
        <f t="shared" ca="1" si="394"/>
        <v>-87.715703452349189</v>
      </c>
      <c r="P852" s="310">
        <f t="shared" ca="1" si="395"/>
        <v>23</v>
      </c>
      <c r="Q852" s="304">
        <f t="shared" ca="1" si="396"/>
        <v>0</v>
      </c>
      <c r="R852" s="306">
        <f t="shared" ca="1" si="397"/>
        <v>0</v>
      </c>
      <c r="S852" s="307">
        <f t="shared" ca="1" si="398"/>
        <v>4.9929999999999914</v>
      </c>
      <c r="T852" s="304">
        <f t="shared" ca="1" si="378"/>
        <v>48.981329999999922</v>
      </c>
      <c r="U852" s="311">
        <f t="shared" ca="1" si="379"/>
        <v>0</v>
      </c>
      <c r="V852" s="306">
        <f t="shared" ca="1" si="380"/>
        <v>1.2257457803762899</v>
      </c>
      <c r="W852" s="304">
        <f t="shared" ca="1" si="381"/>
        <v>49.50597445290299</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-0.11286253617925546</v>
      </c>
      <c r="AH852" s="304">
        <f t="shared" ca="1" si="405"/>
        <v>-9.9150669492067998</v>
      </c>
    </row>
    <row r="853" spans="1:34" x14ac:dyDescent="0.2">
      <c r="A853" s="347">
        <f t="shared" ca="1" si="383"/>
        <v>1E-4</v>
      </c>
      <c r="B853" s="304">
        <f t="shared" ca="1" si="384"/>
        <v>43.905000000000477</v>
      </c>
      <c r="D853" s="306">
        <f t="shared" ca="1" si="385"/>
        <v>-0.39519445340761544</v>
      </c>
      <c r="E853" s="307">
        <f t="shared" ca="1" si="386"/>
        <v>9.7197049105920641E-2</v>
      </c>
      <c r="F853" s="304">
        <f t="shared" ca="1" si="387"/>
        <v>0.40697164810222675</v>
      </c>
      <c r="G853" s="306">
        <f t="shared" ca="1" si="388"/>
        <v>4.4470122685679847</v>
      </c>
      <c r="H853" s="307">
        <f t="shared" ca="1" si="389"/>
        <v>-111.48388883082504</v>
      </c>
      <c r="I853" s="304">
        <f t="shared" ca="1" si="390"/>
        <v>111.57254764036067</v>
      </c>
      <c r="J853" s="306">
        <f t="shared" ca="1" si="391"/>
        <v>928.20926186620727</v>
      </c>
      <c r="K853" s="307">
        <f t="shared" ca="1" si="392"/>
        <v>-6.0972988359913325</v>
      </c>
      <c r="L853" s="304">
        <f t="shared" ca="1" si="377"/>
        <v>928.22928787412468</v>
      </c>
      <c r="M853" s="306">
        <f t="shared" ca="1" si="393"/>
        <v>-1.5309281813967623</v>
      </c>
      <c r="N853" s="304">
        <f t="shared" ca="1" si="394"/>
        <v>-87.715723531672992</v>
      </c>
      <c r="P853" s="310">
        <f t="shared" ca="1" si="395"/>
        <v>23</v>
      </c>
      <c r="Q853" s="304">
        <f t="shared" ca="1" si="396"/>
        <v>0</v>
      </c>
      <c r="R853" s="306">
        <f t="shared" ca="1" si="397"/>
        <v>0</v>
      </c>
      <c r="S853" s="307">
        <f t="shared" ca="1" si="398"/>
        <v>4.9929999999999914</v>
      </c>
      <c r="T853" s="304">
        <f t="shared" ca="1" si="378"/>
        <v>48.981329999999922</v>
      </c>
      <c r="U853" s="311">
        <f t="shared" ca="1" si="379"/>
        <v>0</v>
      </c>
      <c r="V853" s="306">
        <f t="shared" ca="1" si="380"/>
        <v>1.225747146886301</v>
      </c>
      <c r="W853" s="304">
        <f t="shared" ca="1" si="381"/>
        <v>49.506019627661139</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-0.11287144691875106</v>
      </c>
      <c r="AH853" s="304">
        <f t="shared" ca="1" si="405"/>
        <v>-9.9150759969763822</v>
      </c>
    </row>
    <row r="854" spans="1:34" x14ac:dyDescent="0.2">
      <c r="A854" s="347">
        <f t="shared" ca="1" si="383"/>
        <v>1E-4</v>
      </c>
      <c r="B854" s="304">
        <f t="shared" ca="1" si="384"/>
        <v>43.905100000000481</v>
      </c>
      <c r="D854" s="306">
        <f t="shared" ca="1" si="385"/>
        <v>-0.39519134204350809</v>
      </c>
      <c r="E854" s="307">
        <f t="shared" ca="1" si="386"/>
        <v>9.7206228030124464E-2</v>
      </c>
      <c r="F854" s="304">
        <f t="shared" ca="1" si="387"/>
        <v>0.40697081909394139</v>
      </c>
      <c r="G854" s="306">
        <f t="shared" ca="1" si="388"/>
        <v>4.4469727494337805</v>
      </c>
      <c r="H854" s="307">
        <f t="shared" ca="1" si="389"/>
        <v>-111.48387911020224</v>
      </c>
      <c r="I854" s="304">
        <f t="shared" ca="1" si="390"/>
        <v>111.57253635233177</v>
      </c>
      <c r="J854" s="306">
        <f t="shared" ca="1" si="391"/>
        <v>928.20926186620727</v>
      </c>
      <c r="K854" s="307">
        <f t="shared" ca="1" si="392"/>
        <v>-6.1084472243883843</v>
      </c>
      <c r="L854" s="304">
        <f t="shared" ca="1" si="377"/>
        <v>928.22936117195866</v>
      </c>
      <c r="M854" s="306">
        <f t="shared" ca="1" si="393"/>
        <v>-1.5309285318440307</v>
      </c>
      <c r="N854" s="304">
        <f t="shared" ca="1" si="394"/>
        <v>-87.715743610822415</v>
      </c>
      <c r="P854" s="310">
        <f t="shared" ca="1" si="395"/>
        <v>23</v>
      </c>
      <c r="Q854" s="304">
        <f t="shared" ca="1" si="396"/>
        <v>0</v>
      </c>
      <c r="R854" s="306">
        <f t="shared" ca="1" si="397"/>
        <v>0</v>
      </c>
      <c r="S854" s="307">
        <f t="shared" ca="1" si="398"/>
        <v>4.9929999999999914</v>
      </c>
      <c r="T854" s="304">
        <f t="shared" ca="1" si="378"/>
        <v>48.981329999999922</v>
      </c>
      <c r="U854" s="311">
        <f t="shared" ca="1" si="379"/>
        <v>0</v>
      </c>
      <c r="V854" s="306">
        <f t="shared" ca="1" si="380"/>
        <v>1.2257485133977171</v>
      </c>
      <c r="W854" s="304">
        <f t="shared" ca="1" si="381"/>
        <v>49.506064801663975</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-0.11288035750935599</v>
      </c>
      <c r="AH854" s="304">
        <f t="shared" ca="1" si="405"/>
        <v>-9.9150850445946777</v>
      </c>
    </row>
    <row r="855" spans="1:34" x14ac:dyDescent="0.2">
      <c r="A855" s="347">
        <f t="shared" ca="1" si="383"/>
        <v>1E-4</v>
      </c>
      <c r="B855" s="304">
        <f t="shared" ca="1" si="384"/>
        <v>43.905200000000484</v>
      </c>
      <c r="D855" s="306">
        <f t="shared" ca="1" si="385"/>
        <v>-0.3951882306971396</v>
      </c>
      <c r="E855" s="307">
        <f t="shared" ca="1" si="386"/>
        <v>9.7215406801007376E-2</v>
      </c>
      <c r="F855" s="304">
        <f t="shared" ca="1" si="387"/>
        <v>0.40696999029537911</v>
      </c>
      <c r="G855" s="306">
        <f t="shared" ca="1" si="388"/>
        <v>4.4469332306107106</v>
      </c>
      <c r="H855" s="307">
        <f t="shared" ca="1" si="389"/>
        <v>-111.48386938866156</v>
      </c>
      <c r="I855" s="304">
        <f t="shared" ca="1" si="390"/>
        <v>111.57252506341183</v>
      </c>
      <c r="J855" s="306">
        <f t="shared" ca="1" si="391"/>
        <v>928.20926186620727</v>
      </c>
      <c r="K855" s="307">
        <f t="shared" ca="1" si="392"/>
        <v>-6.1195956118133275</v>
      </c>
      <c r="L855" s="304">
        <f t="shared" ca="1" si="377"/>
        <v>928.22943460367674</v>
      </c>
      <c r="M855" s="306">
        <f t="shared" ca="1" si="393"/>
        <v>-1.5309288822882556</v>
      </c>
      <c r="N855" s="304">
        <f t="shared" ca="1" si="394"/>
        <v>-87.715763689797456</v>
      </c>
      <c r="P855" s="310">
        <f t="shared" ca="1" si="395"/>
        <v>23</v>
      </c>
      <c r="Q855" s="304">
        <f t="shared" ca="1" si="396"/>
        <v>0</v>
      </c>
      <c r="R855" s="306">
        <f t="shared" ca="1" si="397"/>
        <v>0</v>
      </c>
      <c r="S855" s="307">
        <f t="shared" ca="1" si="398"/>
        <v>4.9929999999999914</v>
      </c>
      <c r="T855" s="304">
        <f t="shared" ca="1" si="378"/>
        <v>48.981329999999922</v>
      </c>
      <c r="U855" s="311">
        <f t="shared" ca="1" si="379"/>
        <v>0</v>
      </c>
      <c r="V855" s="306">
        <f t="shared" ca="1" si="380"/>
        <v>1.2257498799105377</v>
      </c>
      <c r="W855" s="304">
        <f t="shared" ca="1" si="381"/>
        <v>49.506109974911496</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-0.11288926795107734</v>
      </c>
      <c r="AH855" s="304">
        <f t="shared" ca="1" si="405"/>
        <v>-9.9150940920616986</v>
      </c>
    </row>
    <row r="856" spans="1:34" x14ac:dyDescent="0.2">
      <c r="A856" s="347">
        <f t="shared" ca="1" si="383"/>
        <v>1E-4</v>
      </c>
      <c r="B856" s="304">
        <f t="shared" ca="1" si="384"/>
        <v>43.905300000000487</v>
      </c>
      <c r="D856" s="306">
        <f t="shared" ca="1" si="385"/>
        <v>-0.39518511936850803</v>
      </c>
      <c r="E856" s="307">
        <f t="shared" ca="1" si="386"/>
        <v>9.7224585418571152E-2</v>
      </c>
      <c r="F856" s="304">
        <f t="shared" ca="1" si="387"/>
        <v>0.40696916170652903</v>
      </c>
      <c r="G856" s="306">
        <f t="shared" ca="1" si="388"/>
        <v>4.4468937120987739</v>
      </c>
      <c r="H856" s="307">
        <f t="shared" ca="1" si="389"/>
        <v>-111.48385966620302</v>
      </c>
      <c r="I856" s="304">
        <f t="shared" ca="1" si="390"/>
        <v>111.57251377360085</v>
      </c>
      <c r="J856" s="306">
        <f t="shared" ca="1" si="391"/>
        <v>928.20926186620727</v>
      </c>
      <c r="K856" s="307">
        <f t="shared" ca="1" si="392"/>
        <v>-6.1307439982660705</v>
      </c>
      <c r="L856" s="304">
        <f t="shared" ca="1" si="377"/>
        <v>928.22950816927903</v>
      </c>
      <c r="M856" s="306">
        <f t="shared" ca="1" si="393"/>
        <v>-1.5309292327294375</v>
      </c>
      <c r="N856" s="304">
        <f t="shared" ca="1" si="394"/>
        <v>-87.715783768598143</v>
      </c>
      <c r="P856" s="310">
        <f t="shared" ca="1" si="395"/>
        <v>23</v>
      </c>
      <c r="Q856" s="304">
        <f t="shared" ca="1" si="396"/>
        <v>0</v>
      </c>
      <c r="R856" s="306">
        <f t="shared" ca="1" si="397"/>
        <v>0</v>
      </c>
      <c r="S856" s="307">
        <f t="shared" ca="1" si="398"/>
        <v>4.9929999999999914</v>
      </c>
      <c r="T856" s="304">
        <f t="shared" ca="1" si="378"/>
        <v>48.981329999999922</v>
      </c>
      <c r="U856" s="311">
        <f t="shared" ca="1" si="379"/>
        <v>0</v>
      </c>
      <c r="V856" s="306">
        <f t="shared" ca="1" si="380"/>
        <v>1.2257512464247631</v>
      </c>
      <c r="W856" s="304">
        <f t="shared" ca="1" si="381"/>
        <v>49.506155147403675</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-0.11289817824391868</v>
      </c>
      <c r="AH856" s="304">
        <f t="shared" ca="1" si="405"/>
        <v>-9.9151031393774449</v>
      </c>
    </row>
    <row r="857" spans="1:34" x14ac:dyDescent="0.2">
      <c r="A857" s="347">
        <f t="shared" ca="1" si="383"/>
        <v>1E-4</v>
      </c>
      <c r="B857" s="304">
        <f t="shared" ca="1" si="384"/>
        <v>43.90540000000049</v>
      </c>
      <c r="D857" s="306">
        <f t="shared" ca="1" si="385"/>
        <v>-0.39518200805761128</v>
      </c>
      <c r="E857" s="307">
        <f t="shared" ca="1" si="386"/>
        <v>9.7233763882805135E-2</v>
      </c>
      <c r="F857" s="304">
        <f t="shared" ca="1" si="387"/>
        <v>0.40696833332737697</v>
      </c>
      <c r="G857" s="306">
        <f t="shared" ca="1" si="388"/>
        <v>4.446854193897968</v>
      </c>
      <c r="H857" s="307">
        <f t="shared" ca="1" si="389"/>
        <v>-111.48384994282662</v>
      </c>
      <c r="I857" s="304">
        <f t="shared" ca="1" si="390"/>
        <v>111.57250248289886</v>
      </c>
      <c r="J857" s="306">
        <f t="shared" ca="1" si="391"/>
        <v>928.20926186620727</v>
      </c>
      <c r="K857" s="307">
        <f t="shared" ca="1" si="392"/>
        <v>-6.141892383746522</v>
      </c>
      <c r="L857" s="304">
        <f t="shared" ca="1" si="377"/>
        <v>928.22958186876531</v>
      </c>
      <c r="M857" s="306">
        <f t="shared" ca="1" si="393"/>
        <v>-1.5309295831675758</v>
      </c>
      <c r="N857" s="304">
        <f t="shared" ca="1" si="394"/>
        <v>-87.71580384722445</v>
      </c>
      <c r="P857" s="310">
        <f t="shared" ca="1" si="395"/>
        <v>23</v>
      </c>
      <c r="Q857" s="304">
        <f t="shared" ca="1" si="396"/>
        <v>0</v>
      </c>
      <c r="R857" s="306">
        <f t="shared" ca="1" si="397"/>
        <v>0</v>
      </c>
      <c r="S857" s="307">
        <f t="shared" ca="1" si="398"/>
        <v>4.9929999999999914</v>
      </c>
      <c r="T857" s="304">
        <f t="shared" ca="1" si="378"/>
        <v>48.981329999999922</v>
      </c>
      <c r="U857" s="311">
        <f t="shared" ca="1" si="379"/>
        <v>0</v>
      </c>
      <c r="V857" s="306">
        <f t="shared" ca="1" si="380"/>
        <v>1.2257526129403935</v>
      </c>
      <c r="W857" s="304">
        <f t="shared" ca="1" si="381"/>
        <v>49.506200319140582</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-0.11290708838787644</v>
      </c>
      <c r="AH857" s="304">
        <f t="shared" ca="1" si="405"/>
        <v>-9.9151121865419114</v>
      </c>
    </row>
    <row r="858" spans="1:34" x14ac:dyDescent="0.2">
      <c r="A858" s="347">
        <f t="shared" ca="1" si="383"/>
        <v>1E-4</v>
      </c>
      <c r="B858" s="304">
        <f t="shared" ca="1" si="384"/>
        <v>43.905500000000494</v>
      </c>
      <c r="D858" s="306">
        <f t="shared" ca="1" si="385"/>
        <v>-0.39517889676445439</v>
      </c>
      <c r="E858" s="307">
        <f t="shared" ca="1" si="386"/>
        <v>9.7242942193727089E-2</v>
      </c>
      <c r="F858" s="304">
        <f t="shared" ca="1" si="387"/>
        <v>0.40696750515792268</v>
      </c>
      <c r="G858" s="306">
        <f t="shared" ca="1" si="388"/>
        <v>4.4468146760082918</v>
      </c>
      <c r="H858" s="307">
        <f t="shared" ca="1" si="389"/>
        <v>-111.48384021853241</v>
      </c>
      <c r="I858" s="304">
        <f t="shared" ca="1" si="390"/>
        <v>111.57249119130587</v>
      </c>
      <c r="J858" s="306">
        <f t="shared" ca="1" si="391"/>
        <v>928.20926186620727</v>
      </c>
      <c r="K858" s="307">
        <f t="shared" ca="1" si="392"/>
        <v>-6.1530407682545896</v>
      </c>
      <c r="L858" s="304">
        <f t="shared" ca="1" si="377"/>
        <v>928.22965570213557</v>
      </c>
      <c r="M858" s="306">
        <f t="shared" ca="1" si="393"/>
        <v>-1.5309299336026707</v>
      </c>
      <c r="N858" s="304">
        <f t="shared" ca="1" si="394"/>
        <v>-87.715823925676375</v>
      </c>
      <c r="P858" s="310">
        <f t="shared" ca="1" si="395"/>
        <v>23</v>
      </c>
      <c r="Q858" s="304">
        <f t="shared" ca="1" si="396"/>
        <v>0</v>
      </c>
      <c r="R858" s="306">
        <f t="shared" ca="1" si="397"/>
        <v>0</v>
      </c>
      <c r="S858" s="307">
        <f t="shared" ca="1" si="398"/>
        <v>4.9929999999999914</v>
      </c>
      <c r="T858" s="304">
        <f t="shared" ca="1" si="378"/>
        <v>48.981329999999922</v>
      </c>
      <c r="U858" s="311">
        <f t="shared" ca="1" si="379"/>
        <v>0</v>
      </c>
      <c r="V858" s="306">
        <f t="shared" ca="1" si="380"/>
        <v>1.2257539794574284</v>
      </c>
      <c r="W858" s="304">
        <f t="shared" ca="1" si="381"/>
        <v>49.50624549012219</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-0.11291599838295596</v>
      </c>
      <c r="AH858" s="304">
        <f t="shared" ca="1" si="405"/>
        <v>-9.9151212335551104</v>
      </c>
    </row>
    <row r="859" spans="1:34" x14ac:dyDescent="0.2">
      <c r="A859" s="347">
        <f t="shared" ca="1" si="383"/>
        <v>1E-4</v>
      </c>
      <c r="B859" s="304">
        <f t="shared" ca="1" si="384"/>
        <v>43.905600000000497</v>
      </c>
      <c r="D859" s="306">
        <f t="shared" ca="1" si="385"/>
        <v>-0.39517578548903531</v>
      </c>
      <c r="E859" s="307">
        <f t="shared" ca="1" si="386"/>
        <v>9.725212035133346E-2</v>
      </c>
      <c r="F859" s="304">
        <f t="shared" ca="1" si="387"/>
        <v>0.40696667719815377</v>
      </c>
      <c r="G859" s="306">
        <f t="shared" ca="1" si="388"/>
        <v>4.4467751584297428</v>
      </c>
      <c r="H859" s="307">
        <f t="shared" ca="1" si="389"/>
        <v>-111.48383049332037</v>
      </c>
      <c r="I859" s="304">
        <f t="shared" ca="1" si="390"/>
        <v>111.57247989882191</v>
      </c>
      <c r="J859" s="306">
        <f t="shared" ca="1" si="391"/>
        <v>928.20926186620727</v>
      </c>
      <c r="K859" s="307">
        <f t="shared" ca="1" si="392"/>
        <v>-6.1641891517901826</v>
      </c>
      <c r="L859" s="304">
        <f t="shared" ca="1" si="377"/>
        <v>928.22972966938971</v>
      </c>
      <c r="M859" s="306">
        <f t="shared" ca="1" si="393"/>
        <v>-1.5309302840347225</v>
      </c>
      <c r="N859" s="304">
        <f t="shared" ca="1" si="394"/>
        <v>-87.715844003953961</v>
      </c>
      <c r="P859" s="310">
        <f t="shared" ca="1" si="395"/>
        <v>23</v>
      </c>
      <c r="Q859" s="304">
        <f t="shared" ca="1" si="396"/>
        <v>0</v>
      </c>
      <c r="R859" s="306">
        <f t="shared" ca="1" si="397"/>
        <v>0</v>
      </c>
      <c r="S859" s="307">
        <f t="shared" ca="1" si="398"/>
        <v>4.9929999999999914</v>
      </c>
      <c r="T859" s="304">
        <f t="shared" ca="1" si="378"/>
        <v>48.981329999999922</v>
      </c>
      <c r="U859" s="311">
        <f t="shared" ca="1" si="379"/>
        <v>0</v>
      </c>
      <c r="V859" s="306">
        <f t="shared" ca="1" si="380"/>
        <v>1.2257553459758679</v>
      </c>
      <c r="W859" s="304">
        <f t="shared" ca="1" si="381"/>
        <v>49.506290660348519</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-0.11292490822916079</v>
      </c>
      <c r="AH859" s="304">
        <f t="shared" ca="1" si="405"/>
        <v>-9.9151302804170385</v>
      </c>
    </row>
    <row r="860" spans="1:34" x14ac:dyDescent="0.2">
      <c r="A860" s="347">
        <f t="shared" ca="1" si="383"/>
        <v>1E-4</v>
      </c>
      <c r="B860" s="304">
        <f t="shared" ca="1" si="384"/>
        <v>43.9057000000005</v>
      </c>
      <c r="D860" s="306">
        <f t="shared" ca="1" si="385"/>
        <v>-0.39517267423135222</v>
      </c>
      <c r="E860" s="307">
        <f t="shared" ca="1" si="386"/>
        <v>9.7261298355622472E-2</v>
      </c>
      <c r="F860" s="304">
        <f t="shared" ca="1" si="387"/>
        <v>0.40696584944805853</v>
      </c>
      <c r="G860" s="306">
        <f t="shared" ca="1" si="388"/>
        <v>4.44673564116232</v>
      </c>
      <c r="H860" s="307">
        <f t="shared" ca="1" si="389"/>
        <v>-111.48382076719054</v>
      </c>
      <c r="I860" s="304">
        <f t="shared" ca="1" si="390"/>
        <v>111.57246860544696</v>
      </c>
      <c r="J860" s="306">
        <f t="shared" ca="1" si="391"/>
        <v>928.20926186620727</v>
      </c>
      <c r="K860" s="307">
        <f t="shared" ca="1" si="392"/>
        <v>-6.1753375343532078</v>
      </c>
      <c r="L860" s="304">
        <f t="shared" ca="1" si="377"/>
        <v>928.22980377052772</v>
      </c>
      <c r="M860" s="306">
        <f t="shared" ca="1" si="393"/>
        <v>-1.530930634463731</v>
      </c>
      <c r="N860" s="304">
        <f t="shared" ca="1" si="394"/>
        <v>-87.715864082057166</v>
      </c>
      <c r="P860" s="310">
        <f t="shared" ca="1" si="395"/>
        <v>23</v>
      </c>
      <c r="Q860" s="304">
        <f t="shared" ca="1" si="396"/>
        <v>0</v>
      </c>
      <c r="R860" s="306">
        <f t="shared" ca="1" si="397"/>
        <v>0</v>
      </c>
      <c r="S860" s="307">
        <f t="shared" ca="1" si="398"/>
        <v>4.9929999999999914</v>
      </c>
      <c r="T860" s="304">
        <f t="shared" ca="1" si="378"/>
        <v>48.981329999999922</v>
      </c>
      <c r="U860" s="311">
        <f t="shared" ca="1" si="379"/>
        <v>0</v>
      </c>
      <c r="V860" s="306">
        <f t="shared" ca="1" si="380"/>
        <v>1.2257567124957125</v>
      </c>
      <c r="W860" s="304">
        <f t="shared" ca="1" si="381"/>
        <v>49.506335829819584</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-0.11293381792649271</v>
      </c>
      <c r="AH860" s="304">
        <f t="shared" ca="1" si="405"/>
        <v>-9.9151393271276991</v>
      </c>
    </row>
    <row r="861" spans="1:34" x14ac:dyDescent="0.2">
      <c r="A861" s="347">
        <f t="shared" ca="1" si="383"/>
        <v>1E-4</v>
      </c>
      <c r="B861" s="304">
        <f t="shared" ca="1" si="384"/>
        <v>43.905800000000504</v>
      </c>
      <c r="D861" s="306">
        <f t="shared" ca="1" si="385"/>
        <v>-0.39516956299140776</v>
      </c>
      <c r="E861" s="307">
        <f t="shared" ca="1" si="386"/>
        <v>9.7270476206604783E-2</v>
      </c>
      <c r="F861" s="304">
        <f t="shared" ca="1" si="387"/>
        <v>0.40696502190763256</v>
      </c>
      <c r="G861" s="306">
        <f t="shared" ca="1" si="388"/>
        <v>4.4466961242060208</v>
      </c>
      <c r="H861" s="307">
        <f t="shared" ca="1" si="389"/>
        <v>-111.48381104014291</v>
      </c>
      <c r="I861" s="304">
        <f t="shared" ca="1" si="390"/>
        <v>111.57245731118107</v>
      </c>
      <c r="J861" s="306">
        <f t="shared" ca="1" si="391"/>
        <v>928.20926186620727</v>
      </c>
      <c r="K861" s="307">
        <f t="shared" ca="1" si="392"/>
        <v>-6.1864859159435746</v>
      </c>
      <c r="L861" s="304">
        <f t="shared" ca="1" si="377"/>
        <v>928.22987800554961</v>
      </c>
      <c r="M861" s="306">
        <f t="shared" ca="1" si="393"/>
        <v>-1.5309309848896964</v>
      </c>
      <c r="N861" s="304">
        <f t="shared" ca="1" si="394"/>
        <v>-87.715884159986004</v>
      </c>
      <c r="P861" s="310">
        <f t="shared" ca="1" si="395"/>
        <v>23</v>
      </c>
      <c r="Q861" s="304">
        <f t="shared" ca="1" si="396"/>
        <v>0</v>
      </c>
      <c r="R861" s="306">
        <f t="shared" ca="1" si="397"/>
        <v>0</v>
      </c>
      <c r="S861" s="307">
        <f t="shared" ca="1" si="398"/>
        <v>4.9929999999999914</v>
      </c>
      <c r="T861" s="304">
        <f t="shared" ca="1" si="378"/>
        <v>48.981329999999922</v>
      </c>
      <c r="U861" s="311">
        <f t="shared" ca="1" si="379"/>
        <v>0</v>
      </c>
      <c r="V861" s="306">
        <f t="shared" ca="1" si="380"/>
        <v>1.2257580790169613</v>
      </c>
      <c r="W861" s="304">
        <f t="shared" ca="1" si="381"/>
        <v>49.506380998535377</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-0.11294272747495171</v>
      </c>
      <c r="AH861" s="304">
        <f t="shared" ca="1" si="405"/>
        <v>-9.9151483736870958</v>
      </c>
    </row>
    <row r="862" spans="1:34" x14ac:dyDescent="0.2">
      <c r="A862" s="347">
        <f t="shared" ca="1" si="383"/>
        <v>1E-4</v>
      </c>
      <c r="B862" s="304">
        <f t="shared" ca="1" si="384"/>
        <v>43.905900000000507</v>
      </c>
      <c r="D862" s="306">
        <f t="shared" ca="1" si="385"/>
        <v>-0.39516645176919968</v>
      </c>
      <c r="E862" s="307">
        <f t="shared" ca="1" si="386"/>
        <v>9.7279653904271512E-2</v>
      </c>
      <c r="F862" s="304">
        <f t="shared" ca="1" si="387"/>
        <v>0.40696419457686206</v>
      </c>
      <c r="G862" s="306">
        <f t="shared" ca="1" si="388"/>
        <v>4.4466566075608442</v>
      </c>
      <c r="H862" s="307">
        <f t="shared" ca="1" si="389"/>
        <v>-111.48380131217752</v>
      </c>
      <c r="I862" s="304">
        <f t="shared" ca="1" si="390"/>
        <v>111.57244601602422</v>
      </c>
      <c r="J862" s="306">
        <f t="shared" ca="1" si="391"/>
        <v>928.20926186620727</v>
      </c>
      <c r="K862" s="307">
        <f t="shared" ca="1" si="392"/>
        <v>-6.1976342965611906</v>
      </c>
      <c r="L862" s="304">
        <f t="shared" ca="1" si="377"/>
        <v>928.22995237445514</v>
      </c>
      <c r="M862" s="306">
        <f t="shared" ca="1" si="393"/>
        <v>-1.5309313353126184</v>
      </c>
      <c r="N862" s="304">
        <f t="shared" ca="1" si="394"/>
        <v>-87.715904237740489</v>
      </c>
      <c r="P862" s="310">
        <f t="shared" ca="1" si="395"/>
        <v>23</v>
      </c>
      <c r="Q862" s="304">
        <f t="shared" ca="1" si="396"/>
        <v>0</v>
      </c>
      <c r="R862" s="306">
        <f t="shared" ca="1" si="397"/>
        <v>0</v>
      </c>
      <c r="S862" s="307">
        <f t="shared" ca="1" si="398"/>
        <v>4.9929999999999914</v>
      </c>
      <c r="T862" s="304">
        <f t="shared" ca="1" si="378"/>
        <v>48.981329999999922</v>
      </c>
      <c r="U862" s="311">
        <f t="shared" ca="1" si="379"/>
        <v>0</v>
      </c>
      <c r="V862" s="306">
        <f t="shared" ca="1" si="380"/>
        <v>1.2257594455396148</v>
      </c>
      <c r="W862" s="304">
        <f t="shared" ca="1" si="381"/>
        <v>49.506426166495906</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-0.1129516368745378</v>
      </c>
      <c r="AH862" s="304">
        <f t="shared" ca="1" si="405"/>
        <v>-9.915157420095225</v>
      </c>
    </row>
    <row r="863" spans="1:34" x14ac:dyDescent="0.2">
      <c r="A863" s="347">
        <f t="shared" ca="1" si="383"/>
        <v>1E-4</v>
      </c>
      <c r="B863" s="304">
        <f t="shared" ca="1" si="384"/>
        <v>43.90600000000051</v>
      </c>
      <c r="D863" s="306">
        <f t="shared" ca="1" si="385"/>
        <v>-0.39516334056473074</v>
      </c>
      <c r="E863" s="307">
        <f t="shared" ca="1" si="386"/>
        <v>9.7288831448626212E-2</v>
      </c>
      <c r="F863" s="304">
        <f t="shared" ca="1" si="387"/>
        <v>0.40696336745574113</v>
      </c>
      <c r="G863" s="306">
        <f t="shared" ca="1" si="388"/>
        <v>4.4466170912267877</v>
      </c>
      <c r="H863" s="307">
        <f t="shared" ca="1" si="389"/>
        <v>-111.48379158329438</v>
      </c>
      <c r="I863" s="304">
        <f t="shared" ca="1" si="390"/>
        <v>111.57243471997646</v>
      </c>
      <c r="J863" s="306">
        <f t="shared" ca="1" si="391"/>
        <v>928.20926186620727</v>
      </c>
      <c r="K863" s="307">
        <f t="shared" ca="1" si="392"/>
        <v>-6.2087826762059644</v>
      </c>
      <c r="L863" s="304">
        <f t="shared" ca="1" si="377"/>
        <v>928.23002687724431</v>
      </c>
      <c r="M863" s="306">
        <f t="shared" ca="1" si="393"/>
        <v>-1.5309316857324973</v>
      </c>
      <c r="N863" s="304">
        <f t="shared" ca="1" si="394"/>
        <v>-87.715924315320606</v>
      </c>
      <c r="P863" s="310">
        <f t="shared" ca="1" si="395"/>
        <v>23</v>
      </c>
      <c r="Q863" s="304">
        <f t="shared" ca="1" si="396"/>
        <v>0</v>
      </c>
      <c r="R863" s="306">
        <f t="shared" ca="1" si="397"/>
        <v>0</v>
      </c>
      <c r="S863" s="307">
        <f t="shared" ca="1" si="398"/>
        <v>4.9929999999999914</v>
      </c>
      <c r="T863" s="304">
        <f t="shared" ca="1" si="378"/>
        <v>48.981329999999922</v>
      </c>
      <c r="U863" s="311">
        <f t="shared" ca="1" si="379"/>
        <v>0</v>
      </c>
      <c r="V863" s="306">
        <f t="shared" ca="1" si="380"/>
        <v>1.2257608120636734</v>
      </c>
      <c r="W863" s="304">
        <f t="shared" ca="1" si="381"/>
        <v>49.506471333701242</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-0.11296054612525452</v>
      </c>
      <c r="AH863" s="304">
        <f t="shared" ca="1" si="405"/>
        <v>-9.9151664663520904</v>
      </c>
    </row>
    <row r="864" spans="1:34" x14ac:dyDescent="0.2">
      <c r="A864" s="347">
        <f t="shared" ca="1" si="383"/>
        <v>1E-4</v>
      </c>
      <c r="B864" s="304">
        <f t="shared" ca="1" si="384"/>
        <v>43.906100000000514</v>
      </c>
      <c r="D864" s="306">
        <f t="shared" ca="1" si="385"/>
        <v>-0.39516022937799949</v>
      </c>
      <c r="E864" s="307">
        <f t="shared" ca="1" si="386"/>
        <v>9.7298008839688421E-2</v>
      </c>
      <c r="F864" s="304">
        <f t="shared" ca="1" si="387"/>
        <v>0.40696254054426345</v>
      </c>
      <c r="G864" s="306">
        <f t="shared" ca="1" si="388"/>
        <v>4.4465775752038503</v>
      </c>
      <c r="H864" s="307">
        <f t="shared" ca="1" si="389"/>
        <v>-111.4837818534935</v>
      </c>
      <c r="I864" s="304">
        <f t="shared" ca="1" si="390"/>
        <v>111.57242342303779</v>
      </c>
      <c r="J864" s="306">
        <f t="shared" ca="1" si="391"/>
        <v>928.20926186620727</v>
      </c>
      <c r="K864" s="307">
        <f t="shared" ca="1" si="392"/>
        <v>-6.2199310548778035</v>
      </c>
      <c r="L864" s="304">
        <f t="shared" ca="1" si="377"/>
        <v>928.23010151391702</v>
      </c>
      <c r="M864" s="306">
        <f t="shared" ca="1" si="393"/>
        <v>-1.530932036149333</v>
      </c>
      <c r="N864" s="304">
        <f t="shared" ca="1" si="394"/>
        <v>-87.715944392726357</v>
      </c>
      <c r="P864" s="310">
        <f t="shared" ca="1" si="395"/>
        <v>23</v>
      </c>
      <c r="Q864" s="304">
        <f t="shared" ca="1" si="396"/>
        <v>0</v>
      </c>
      <c r="R864" s="306">
        <f t="shared" ca="1" si="397"/>
        <v>0</v>
      </c>
      <c r="S864" s="307">
        <f t="shared" ca="1" si="398"/>
        <v>4.9929999999999914</v>
      </c>
      <c r="T864" s="304">
        <f t="shared" ca="1" si="378"/>
        <v>48.981329999999922</v>
      </c>
      <c r="U864" s="311">
        <f t="shared" ca="1" si="379"/>
        <v>0</v>
      </c>
      <c r="V864" s="306">
        <f t="shared" ca="1" si="380"/>
        <v>1.2257621785891364</v>
      </c>
      <c r="W864" s="304">
        <f t="shared" ca="1" si="381"/>
        <v>49.506516500151321</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-0.1129694552271161</v>
      </c>
      <c r="AH864" s="304">
        <f t="shared" ca="1" si="405"/>
        <v>-9.9151755124577061</v>
      </c>
    </row>
    <row r="865" spans="1:34" x14ac:dyDescent="0.2">
      <c r="A865" s="347">
        <f t="shared" ca="1" si="383"/>
        <v>1E-4</v>
      </c>
      <c r="B865" s="304">
        <f t="shared" ca="1" si="384"/>
        <v>43.906200000000517</v>
      </c>
      <c r="D865" s="306">
        <f t="shared" ca="1" si="385"/>
        <v>-0.39515711820900556</v>
      </c>
      <c r="E865" s="307">
        <f t="shared" ca="1" si="386"/>
        <v>9.7307186077438601E-2</v>
      </c>
      <c r="F865" s="304">
        <f t="shared" ca="1" si="387"/>
        <v>0.40696171384241447</v>
      </c>
      <c r="G865" s="306">
        <f t="shared" ca="1" si="388"/>
        <v>4.4465380594920294</v>
      </c>
      <c r="H865" s="307">
        <f t="shared" ca="1" si="389"/>
        <v>-111.48377212277489</v>
      </c>
      <c r="I865" s="304">
        <f t="shared" ca="1" si="390"/>
        <v>111.57241212520823</v>
      </c>
      <c r="J865" s="306">
        <f t="shared" ca="1" si="391"/>
        <v>928.20926186620727</v>
      </c>
      <c r="K865" s="307">
        <f t="shared" ca="1" si="392"/>
        <v>-6.2310794325766166</v>
      </c>
      <c r="L865" s="304">
        <f t="shared" ca="1" si="377"/>
        <v>928.23017628447337</v>
      </c>
      <c r="M865" s="306">
        <f t="shared" ca="1" si="393"/>
        <v>-1.5309323865631257</v>
      </c>
      <c r="N865" s="304">
        <f t="shared" ca="1" si="394"/>
        <v>-87.715964469957768</v>
      </c>
      <c r="P865" s="310">
        <f t="shared" ca="1" si="395"/>
        <v>23</v>
      </c>
      <c r="Q865" s="304">
        <f t="shared" ca="1" si="396"/>
        <v>0</v>
      </c>
      <c r="R865" s="306">
        <f t="shared" ca="1" si="397"/>
        <v>0</v>
      </c>
      <c r="S865" s="307">
        <f t="shared" ca="1" si="398"/>
        <v>4.9929999999999914</v>
      </c>
      <c r="T865" s="304">
        <f t="shared" ca="1" si="378"/>
        <v>48.981329999999922</v>
      </c>
      <c r="U865" s="311">
        <f t="shared" ca="1" si="379"/>
        <v>0</v>
      </c>
      <c r="V865" s="306">
        <f t="shared" ca="1" si="380"/>
        <v>1.225763545116004</v>
      </c>
      <c r="W865" s="304">
        <f t="shared" ca="1" si="381"/>
        <v>49.506561665846199</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-0.11297836418010299</v>
      </c>
      <c r="AH865" s="304">
        <f t="shared" ca="1" si="405"/>
        <v>-9.9151845584120579</v>
      </c>
    </row>
    <row r="866" spans="1:34" x14ac:dyDescent="0.2">
      <c r="A866" s="347">
        <f t="shared" ca="1" si="383"/>
        <v>1E-4</v>
      </c>
      <c r="B866" s="304">
        <f t="shared" ca="1" si="384"/>
        <v>43.90630000000052</v>
      </c>
      <c r="D866" s="306">
        <f t="shared" ca="1" si="385"/>
        <v>-0.39515400705774972</v>
      </c>
      <c r="E866" s="307">
        <f t="shared" ca="1" si="386"/>
        <v>9.7316363161890962E-2</v>
      </c>
      <c r="F866" s="304">
        <f t="shared" ca="1" si="387"/>
        <v>0.40696088735018898</v>
      </c>
      <c r="G866" s="306">
        <f t="shared" ca="1" si="388"/>
        <v>4.4464985440913241</v>
      </c>
      <c r="H866" s="307">
        <f t="shared" ca="1" si="389"/>
        <v>-111.48376239113858</v>
      </c>
      <c r="I866" s="304">
        <f t="shared" ca="1" si="390"/>
        <v>111.57240082648778</v>
      </c>
      <c r="J866" s="306">
        <f t="shared" ca="1" si="391"/>
        <v>928.20926186620727</v>
      </c>
      <c r="K866" s="307">
        <f t="shared" ca="1" si="392"/>
        <v>-6.242227809302312</v>
      </c>
      <c r="L866" s="304">
        <f t="shared" ca="1" si="377"/>
        <v>928.23025118891303</v>
      </c>
      <c r="M866" s="306">
        <f t="shared" ca="1" si="393"/>
        <v>-1.5309327369738752</v>
      </c>
      <c r="N866" s="304">
        <f t="shared" ca="1" si="394"/>
        <v>-87.715984547014813</v>
      </c>
      <c r="P866" s="310">
        <f t="shared" ca="1" si="395"/>
        <v>23</v>
      </c>
      <c r="Q866" s="304">
        <f t="shared" ca="1" si="396"/>
        <v>0</v>
      </c>
      <c r="R866" s="306">
        <f t="shared" ca="1" si="397"/>
        <v>0</v>
      </c>
      <c r="S866" s="307">
        <f t="shared" ca="1" si="398"/>
        <v>4.9929999999999914</v>
      </c>
      <c r="T866" s="304">
        <f t="shared" ca="1" si="378"/>
        <v>48.981329999999922</v>
      </c>
      <c r="U866" s="311">
        <f t="shared" ca="1" si="379"/>
        <v>0</v>
      </c>
      <c r="V866" s="306">
        <f t="shared" ca="1" si="380"/>
        <v>1.2257649116442768</v>
      </c>
      <c r="W866" s="304">
        <f t="shared" ca="1" si="381"/>
        <v>49.506606830785877</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-0.1129872729842365</v>
      </c>
      <c r="AH866" s="304">
        <f t="shared" ca="1" si="405"/>
        <v>-9.9151936042151583</v>
      </c>
    </row>
    <row r="867" spans="1:34" x14ac:dyDescent="0.2">
      <c r="A867" s="347">
        <f t="shared" ca="1" si="383"/>
        <v>1E-4</v>
      </c>
      <c r="B867" s="304">
        <f t="shared" ca="1" si="384"/>
        <v>43.906400000000524</v>
      </c>
      <c r="D867" s="306">
        <f t="shared" ca="1" si="385"/>
        <v>-0.39515089592423214</v>
      </c>
      <c r="E867" s="307">
        <f t="shared" ca="1" si="386"/>
        <v>9.7325540093045504E-2</v>
      </c>
      <c r="F867" s="304">
        <f t="shared" ca="1" si="387"/>
        <v>0.40696006106757743</v>
      </c>
      <c r="G867" s="306">
        <f t="shared" ca="1" si="388"/>
        <v>4.4464590290017316</v>
      </c>
      <c r="H867" s="307">
        <f t="shared" ca="1" si="389"/>
        <v>-111.48375265858458</v>
      </c>
      <c r="I867" s="304">
        <f t="shared" ca="1" si="390"/>
        <v>111.57238952687648</v>
      </c>
      <c r="J867" s="306">
        <f t="shared" ca="1" si="391"/>
        <v>928.20926186620727</v>
      </c>
      <c r="K867" s="307">
        <f t="shared" ca="1" si="392"/>
        <v>-6.2533761850547984</v>
      </c>
      <c r="L867" s="304">
        <f t="shared" ca="1" si="377"/>
        <v>928.23032622723611</v>
      </c>
      <c r="M867" s="306">
        <f t="shared" ca="1" si="393"/>
        <v>-1.5309330873815818</v>
      </c>
      <c r="N867" s="304">
        <f t="shared" ca="1" si="394"/>
        <v>-87.716004623897504</v>
      </c>
      <c r="P867" s="310">
        <f t="shared" ca="1" si="395"/>
        <v>23</v>
      </c>
      <c r="Q867" s="304">
        <f t="shared" ca="1" si="396"/>
        <v>0</v>
      </c>
      <c r="R867" s="306">
        <f t="shared" ca="1" si="397"/>
        <v>0</v>
      </c>
      <c r="S867" s="307">
        <f t="shared" ca="1" si="398"/>
        <v>4.9929999999999914</v>
      </c>
      <c r="T867" s="304">
        <f t="shared" ca="1" si="378"/>
        <v>48.981329999999922</v>
      </c>
      <c r="U867" s="311">
        <f t="shared" ca="1" si="379"/>
        <v>0</v>
      </c>
      <c r="V867" s="306">
        <f t="shared" ca="1" si="380"/>
        <v>1.2257662781739533</v>
      </c>
      <c r="W867" s="304">
        <f t="shared" ca="1" si="381"/>
        <v>49.506651994970341</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-0.11299618163950775</v>
      </c>
      <c r="AH867" s="304">
        <f t="shared" ca="1" si="405"/>
        <v>-9.9152026498670054</v>
      </c>
    </row>
    <row r="868" spans="1:34" x14ac:dyDescent="0.2">
      <c r="A868" s="347">
        <f t="shared" ca="1" si="383"/>
        <v>1E-4</v>
      </c>
      <c r="B868" s="304">
        <f t="shared" ca="1" si="384"/>
        <v>43.906500000000527</v>
      </c>
      <c r="D868" s="306">
        <f t="shared" ca="1" si="385"/>
        <v>-0.39514778480845086</v>
      </c>
      <c r="E868" s="307">
        <f t="shared" ca="1" si="386"/>
        <v>9.7334716870900451E-2</v>
      </c>
      <c r="F868" s="304">
        <f t="shared" ca="1" si="387"/>
        <v>0.40695923499456815</v>
      </c>
      <c r="G868" s="306">
        <f t="shared" ca="1" si="388"/>
        <v>4.4464195142232512</v>
      </c>
      <c r="H868" s="307">
        <f t="shared" ca="1" si="389"/>
        <v>-111.48374292511289</v>
      </c>
      <c r="I868" s="304">
        <f t="shared" ca="1" si="390"/>
        <v>111.57237822637431</v>
      </c>
      <c r="J868" s="306">
        <f t="shared" ca="1" si="391"/>
        <v>928.20926186620727</v>
      </c>
      <c r="K868" s="307">
        <f t="shared" ca="1" si="392"/>
        <v>-6.2645245598339834</v>
      </c>
      <c r="L868" s="304">
        <f t="shared" ca="1" si="377"/>
        <v>928.23040139944248</v>
      </c>
      <c r="M868" s="306">
        <f t="shared" ca="1" si="393"/>
        <v>-1.5309334377862454</v>
      </c>
      <c r="N868" s="304">
        <f t="shared" ca="1" si="394"/>
        <v>-87.716024700605843</v>
      </c>
      <c r="P868" s="310">
        <f t="shared" ca="1" si="395"/>
        <v>23</v>
      </c>
      <c r="Q868" s="304">
        <f t="shared" ca="1" si="396"/>
        <v>0</v>
      </c>
      <c r="R868" s="306">
        <f t="shared" ca="1" si="397"/>
        <v>0</v>
      </c>
      <c r="S868" s="307">
        <f t="shared" ca="1" si="398"/>
        <v>4.9929999999999914</v>
      </c>
      <c r="T868" s="304">
        <f t="shared" ca="1" si="378"/>
        <v>48.981329999999922</v>
      </c>
      <c r="U868" s="311">
        <f t="shared" ca="1" si="379"/>
        <v>0</v>
      </c>
      <c r="V868" s="306">
        <f t="shared" ca="1" si="380"/>
        <v>1.225767644705035</v>
      </c>
      <c r="W868" s="304">
        <f t="shared" ca="1" si="381"/>
        <v>49.506697158399611</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-0.11300509014591853</v>
      </c>
      <c r="AH868" s="304">
        <f t="shared" ca="1" si="405"/>
        <v>-9.9152116953675993</v>
      </c>
    </row>
    <row r="869" spans="1:34" x14ac:dyDescent="0.2">
      <c r="A869" s="347">
        <f t="shared" ca="1" si="383"/>
        <v>1E-4</v>
      </c>
      <c r="B869" s="304">
        <f t="shared" ca="1" si="384"/>
        <v>43.90660000000053</v>
      </c>
      <c r="D869" s="306">
        <f t="shared" ca="1" si="385"/>
        <v>-0.39514467371040846</v>
      </c>
      <c r="E869" s="307">
        <f t="shared" ca="1" si="386"/>
        <v>9.7343893495457579E-2</v>
      </c>
      <c r="F869" s="304">
        <f t="shared" ca="1" si="387"/>
        <v>0.4069584091311545</v>
      </c>
      <c r="G869" s="306">
        <f t="shared" ca="1" si="388"/>
        <v>4.4463799997558802</v>
      </c>
      <c r="H869" s="307">
        <f t="shared" ca="1" si="389"/>
        <v>-111.48373319072354</v>
      </c>
      <c r="I869" s="304">
        <f t="shared" ca="1" si="390"/>
        <v>111.57236692498131</v>
      </c>
      <c r="J869" s="306">
        <f t="shared" ca="1" si="391"/>
        <v>928.20926186620727</v>
      </c>
      <c r="K869" s="307">
        <f t="shared" ca="1" si="392"/>
        <v>-6.2756729336397754</v>
      </c>
      <c r="L869" s="304">
        <f t="shared" ca="1" si="377"/>
        <v>928.23047670553206</v>
      </c>
      <c r="M869" s="306">
        <f t="shared" ca="1" si="393"/>
        <v>-1.530933788187866</v>
      </c>
      <c r="N869" s="304">
        <f t="shared" ca="1" si="394"/>
        <v>-87.716044777139842</v>
      </c>
      <c r="P869" s="310">
        <f t="shared" ca="1" si="395"/>
        <v>23</v>
      </c>
      <c r="Q869" s="304">
        <f t="shared" ca="1" si="396"/>
        <v>0</v>
      </c>
      <c r="R869" s="306">
        <f t="shared" ca="1" si="397"/>
        <v>0</v>
      </c>
      <c r="S869" s="307">
        <f t="shared" ca="1" si="398"/>
        <v>4.9929999999999914</v>
      </c>
      <c r="T869" s="304">
        <f t="shared" ca="1" si="378"/>
        <v>48.981329999999922</v>
      </c>
      <c r="U869" s="311">
        <f t="shared" ca="1" si="379"/>
        <v>0</v>
      </c>
      <c r="V869" s="306">
        <f t="shared" ca="1" si="380"/>
        <v>1.2257690112375215</v>
      </c>
      <c r="W869" s="304">
        <f t="shared" ca="1" si="381"/>
        <v>49.506742321073737</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-0.11301399850347416</v>
      </c>
      <c r="AH869" s="304">
        <f t="shared" ca="1" si="405"/>
        <v>-9.9152207407169435</v>
      </c>
    </row>
    <row r="870" spans="1:34" x14ac:dyDescent="0.2">
      <c r="A870" s="347">
        <f t="shared" ca="1" si="383"/>
        <v>1E-4</v>
      </c>
      <c r="B870" s="304">
        <f t="shared" ca="1" si="384"/>
        <v>43.906700000000534</v>
      </c>
      <c r="D870" s="306">
        <f t="shared" ca="1" si="385"/>
        <v>-0.3951415626301033</v>
      </c>
      <c r="E870" s="307">
        <f t="shared" ca="1" si="386"/>
        <v>9.7353069966727546E-2</v>
      </c>
      <c r="F870" s="304">
        <f t="shared" ca="1" si="387"/>
        <v>0.40695758347732802</v>
      </c>
      <c r="G870" s="306">
        <f t="shared" ca="1" si="388"/>
        <v>4.4463404855996176</v>
      </c>
      <c r="H870" s="307">
        <f t="shared" ca="1" si="389"/>
        <v>-111.48372345541654</v>
      </c>
      <c r="I870" s="304">
        <f t="shared" ca="1" si="390"/>
        <v>111.57235562269747</v>
      </c>
      <c r="J870" s="306">
        <f t="shared" ca="1" si="391"/>
        <v>928.20926186620727</v>
      </c>
      <c r="K870" s="307">
        <f t="shared" ca="1" si="392"/>
        <v>-6.2868213064720821</v>
      </c>
      <c r="L870" s="304">
        <f t="shared" ca="1" si="377"/>
        <v>928.23055214550493</v>
      </c>
      <c r="M870" s="306">
        <f t="shared" ca="1" si="393"/>
        <v>-1.5309341385864434</v>
      </c>
      <c r="N870" s="304">
        <f t="shared" ca="1" si="394"/>
        <v>-87.716064853499475</v>
      </c>
      <c r="P870" s="310">
        <f t="shared" ca="1" si="395"/>
        <v>23</v>
      </c>
      <c r="Q870" s="304">
        <f t="shared" ca="1" si="396"/>
        <v>0</v>
      </c>
      <c r="R870" s="306">
        <f t="shared" ca="1" si="397"/>
        <v>0</v>
      </c>
      <c r="S870" s="307">
        <f t="shared" ca="1" si="398"/>
        <v>4.9929999999999914</v>
      </c>
      <c r="T870" s="304">
        <f t="shared" ca="1" si="378"/>
        <v>48.981329999999922</v>
      </c>
      <c r="U870" s="311">
        <f t="shared" ca="1" si="379"/>
        <v>0</v>
      </c>
      <c r="V870" s="306">
        <f t="shared" ca="1" si="380"/>
        <v>1.2257703777714124</v>
      </c>
      <c r="W870" s="304">
        <f t="shared" ca="1" si="381"/>
        <v>49.506787482992664</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-0.11302290671217818</v>
      </c>
      <c r="AH870" s="304">
        <f t="shared" ca="1" si="405"/>
        <v>-9.9152297859150451</v>
      </c>
    </row>
    <row r="871" spans="1:34" x14ac:dyDescent="0.2">
      <c r="A871" s="347">
        <f t="shared" ca="1" si="383"/>
        <v>1E-4</v>
      </c>
      <c r="B871" s="304">
        <f t="shared" ca="1" si="384"/>
        <v>43.906800000000537</v>
      </c>
      <c r="D871" s="306">
        <f t="shared" ca="1" si="385"/>
        <v>-0.39513845156753746</v>
      </c>
      <c r="E871" s="307">
        <f t="shared" ca="1" si="386"/>
        <v>9.736224628470147E-2</v>
      </c>
      <c r="F871" s="304">
        <f t="shared" ca="1" si="387"/>
        <v>0.40695675803307901</v>
      </c>
      <c r="G871" s="306">
        <f t="shared" ca="1" si="388"/>
        <v>4.4463009717544608</v>
      </c>
      <c r="H871" s="307">
        <f t="shared" ca="1" si="389"/>
        <v>-111.48371371919191</v>
      </c>
      <c r="I871" s="304">
        <f t="shared" ca="1" si="390"/>
        <v>111.57234431952286</v>
      </c>
      <c r="J871" s="306">
        <f t="shared" ca="1" si="391"/>
        <v>928.20926186620727</v>
      </c>
      <c r="K871" s="307">
        <f t="shared" ca="1" si="392"/>
        <v>-6.297969678330813</v>
      </c>
      <c r="L871" s="304">
        <f t="shared" ca="1" si="377"/>
        <v>928.23062771936077</v>
      </c>
      <c r="M871" s="306">
        <f t="shared" ca="1" si="393"/>
        <v>-1.530934488981978</v>
      </c>
      <c r="N871" s="304">
        <f t="shared" ca="1" si="394"/>
        <v>-87.716084929684769</v>
      </c>
      <c r="P871" s="310">
        <f t="shared" ca="1" si="395"/>
        <v>23</v>
      </c>
      <c r="Q871" s="304">
        <f t="shared" ca="1" si="396"/>
        <v>0</v>
      </c>
      <c r="R871" s="306">
        <f t="shared" ca="1" si="397"/>
        <v>0</v>
      </c>
      <c r="S871" s="307">
        <f t="shared" ca="1" si="398"/>
        <v>4.9929999999999914</v>
      </c>
      <c r="T871" s="304">
        <f t="shared" ca="1" si="378"/>
        <v>48.981329999999922</v>
      </c>
      <c r="U871" s="311">
        <f t="shared" ca="1" si="379"/>
        <v>0</v>
      </c>
      <c r="V871" s="306">
        <f t="shared" ca="1" si="380"/>
        <v>1.2257717443067075</v>
      </c>
      <c r="W871" s="304">
        <f t="shared" ca="1" si="381"/>
        <v>49.506832644156447</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-0.11303181477202884</v>
      </c>
      <c r="AH871" s="304">
        <f t="shared" ca="1" si="405"/>
        <v>-9.9152388309618971</v>
      </c>
    </row>
    <row r="872" spans="1:34" x14ac:dyDescent="0.2">
      <c r="A872" s="347">
        <f t="shared" ca="1" si="383"/>
        <v>1E-4</v>
      </c>
      <c r="B872" s="304">
        <f t="shared" ca="1" si="384"/>
        <v>43.90690000000054</v>
      </c>
      <c r="D872" s="306">
        <f t="shared" ca="1" si="385"/>
        <v>-0.39513534052270938</v>
      </c>
      <c r="E872" s="307">
        <f t="shared" ca="1" si="386"/>
        <v>9.7371422449386458E-2</v>
      </c>
      <c r="F872" s="304">
        <f t="shared" ca="1" si="387"/>
        <v>0.4069559327983982</v>
      </c>
      <c r="G872" s="306">
        <f t="shared" ca="1" si="388"/>
        <v>4.446261458220409</v>
      </c>
      <c r="H872" s="307">
        <f t="shared" ca="1" si="389"/>
        <v>-111.48370398204966</v>
      </c>
      <c r="I872" s="304">
        <f t="shared" ca="1" si="390"/>
        <v>111.57233301545743</v>
      </c>
      <c r="J872" s="306">
        <f t="shared" ca="1" si="391"/>
        <v>928.20926186620727</v>
      </c>
      <c r="K872" s="307">
        <f t="shared" ca="1" si="392"/>
        <v>-6.3091180492158747</v>
      </c>
      <c r="L872" s="304">
        <f t="shared" ca="1" si="377"/>
        <v>928.23070342709968</v>
      </c>
      <c r="M872" s="306">
        <f t="shared" ca="1" si="393"/>
        <v>-1.5309348393744697</v>
      </c>
      <c r="N872" s="304">
        <f t="shared" ca="1" si="394"/>
        <v>-87.716105005695724</v>
      </c>
      <c r="P872" s="310">
        <f t="shared" ca="1" si="395"/>
        <v>23</v>
      </c>
      <c r="Q872" s="304">
        <f t="shared" ca="1" si="396"/>
        <v>0</v>
      </c>
      <c r="R872" s="306">
        <f t="shared" ca="1" si="397"/>
        <v>0</v>
      </c>
      <c r="S872" s="307">
        <f t="shared" ca="1" si="398"/>
        <v>4.9929999999999914</v>
      </c>
      <c r="T872" s="304">
        <f t="shared" ca="1" si="378"/>
        <v>48.981329999999922</v>
      </c>
      <c r="U872" s="311">
        <f t="shared" ca="1" si="379"/>
        <v>0</v>
      </c>
      <c r="V872" s="306">
        <f t="shared" ca="1" si="380"/>
        <v>1.2257731108434078</v>
      </c>
      <c r="W872" s="304">
        <f t="shared" ca="1" si="381"/>
        <v>49.506877804565107</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-0.11304072268302789</v>
      </c>
      <c r="AH872" s="304">
        <f t="shared" ca="1" si="405"/>
        <v>-9.9152478758575064</v>
      </c>
    </row>
    <row r="873" spans="1:34" x14ac:dyDescent="0.2">
      <c r="A873" s="347">
        <f t="shared" ca="1" si="383"/>
        <v>1E-4</v>
      </c>
      <c r="B873" s="304">
        <f t="shared" ca="1" si="384"/>
        <v>43.907000000000544</v>
      </c>
      <c r="D873" s="306">
        <f t="shared" ca="1" si="385"/>
        <v>-0.39513222949561949</v>
      </c>
      <c r="E873" s="307">
        <f t="shared" ca="1" si="386"/>
        <v>9.7380598460789614E-2</v>
      </c>
      <c r="F873" s="304">
        <f t="shared" ca="1" si="387"/>
        <v>0.4069551077732782</v>
      </c>
      <c r="G873" s="306">
        <f t="shared" ca="1" si="388"/>
        <v>4.4462219449974594</v>
      </c>
      <c r="H873" s="307">
        <f t="shared" ca="1" si="389"/>
        <v>-111.48369424398982</v>
      </c>
      <c r="I873" s="304">
        <f t="shared" ca="1" si="390"/>
        <v>111.57232171050123</v>
      </c>
      <c r="J873" s="306">
        <f t="shared" ca="1" si="391"/>
        <v>928.20926186620727</v>
      </c>
      <c r="K873" s="307">
        <f t="shared" ca="1" si="392"/>
        <v>-6.3202664191271767</v>
      </c>
      <c r="L873" s="304">
        <f t="shared" ca="1" si="377"/>
        <v>928.23077926872156</v>
      </c>
      <c r="M873" s="306">
        <f t="shared" ca="1" si="393"/>
        <v>-1.5309351897639187</v>
      </c>
      <c r="N873" s="304">
        <f t="shared" ca="1" si="394"/>
        <v>-87.71612508153234</v>
      </c>
      <c r="P873" s="310">
        <f t="shared" ca="1" si="395"/>
        <v>23</v>
      </c>
      <c r="Q873" s="304">
        <f t="shared" ca="1" si="396"/>
        <v>0</v>
      </c>
      <c r="R873" s="306">
        <f t="shared" ca="1" si="397"/>
        <v>0</v>
      </c>
      <c r="S873" s="307">
        <f t="shared" ca="1" si="398"/>
        <v>4.9929999999999914</v>
      </c>
      <c r="T873" s="304">
        <f t="shared" ca="1" si="378"/>
        <v>48.981329999999922</v>
      </c>
      <c r="U873" s="311">
        <f t="shared" ca="1" si="379"/>
        <v>0</v>
      </c>
      <c r="V873" s="306">
        <f t="shared" ca="1" si="380"/>
        <v>1.2257744773815125</v>
      </c>
      <c r="W873" s="304">
        <f t="shared" ca="1" si="381"/>
        <v>49.50692296421861</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-0.11304963044518601</v>
      </c>
      <c r="AH873" s="304">
        <f t="shared" ca="1" si="405"/>
        <v>-9.9152569206018804</v>
      </c>
    </row>
    <row r="874" spans="1:34" x14ac:dyDescent="0.2">
      <c r="A874" s="347">
        <f t="shared" ca="1" si="383"/>
        <v>1E-4</v>
      </c>
      <c r="B874" s="304">
        <f t="shared" ca="1" si="384"/>
        <v>43.907100000000547</v>
      </c>
      <c r="D874" s="306">
        <f t="shared" ca="1" si="385"/>
        <v>-0.39512911848626564</v>
      </c>
      <c r="E874" s="307">
        <f t="shared" ca="1" si="386"/>
        <v>9.7389774318905609E-2</v>
      </c>
      <c r="F874" s="304">
        <f t="shared" ca="1" si="387"/>
        <v>0.40695428295770608</v>
      </c>
      <c r="G874" s="306">
        <f t="shared" ca="1" si="388"/>
        <v>4.4461824320856111</v>
      </c>
      <c r="H874" s="307">
        <f t="shared" ca="1" si="389"/>
        <v>-111.48368450501239</v>
      </c>
      <c r="I874" s="304">
        <f t="shared" ca="1" si="390"/>
        <v>111.57231040465429</v>
      </c>
      <c r="J874" s="306">
        <f t="shared" ca="1" si="391"/>
        <v>928.20926186620727</v>
      </c>
      <c r="K874" s="307">
        <f t="shared" ca="1" si="392"/>
        <v>-6.3314147880646265</v>
      </c>
      <c r="L874" s="304">
        <f t="shared" ca="1" si="377"/>
        <v>928.23085524422629</v>
      </c>
      <c r="M874" s="306">
        <f t="shared" ca="1" si="393"/>
        <v>-1.5309355401503246</v>
      </c>
      <c r="N874" s="304">
        <f t="shared" ca="1" si="394"/>
        <v>-87.716145157194589</v>
      </c>
      <c r="P874" s="310">
        <f t="shared" ca="1" si="395"/>
        <v>23</v>
      </c>
      <c r="Q874" s="304">
        <f t="shared" ca="1" si="396"/>
        <v>0</v>
      </c>
      <c r="R874" s="306">
        <f t="shared" ca="1" si="397"/>
        <v>0</v>
      </c>
      <c r="S874" s="307">
        <f t="shared" ca="1" si="398"/>
        <v>4.9929999999999914</v>
      </c>
      <c r="T874" s="304">
        <f t="shared" ca="1" si="378"/>
        <v>48.981329999999922</v>
      </c>
      <c r="U874" s="311">
        <f t="shared" ca="1" si="379"/>
        <v>0</v>
      </c>
      <c r="V874" s="306">
        <f t="shared" ca="1" si="380"/>
        <v>1.2257758439210216</v>
      </c>
      <c r="W874" s="304">
        <f t="shared" ca="1" si="381"/>
        <v>49.506968123116998</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-0.11305853805849431</v>
      </c>
      <c r="AH874" s="304">
        <f t="shared" ca="1" si="405"/>
        <v>-9.9152659651950117</v>
      </c>
    </row>
    <row r="875" spans="1:34" x14ac:dyDescent="0.2">
      <c r="A875" s="347">
        <f t="shared" ca="1" si="383"/>
        <v>1E-4</v>
      </c>
      <c r="B875" s="304">
        <f t="shared" ca="1" si="384"/>
        <v>43.90720000000055</v>
      </c>
      <c r="D875" s="306">
        <f t="shared" ca="1" si="385"/>
        <v>-0.39512600749465265</v>
      </c>
      <c r="E875" s="307">
        <f t="shared" ca="1" si="386"/>
        <v>9.7398950023739772E-2</v>
      </c>
      <c r="F875" s="304">
        <f t="shared" ca="1" si="387"/>
        <v>0.4069534583516784</v>
      </c>
      <c r="G875" s="306">
        <f t="shared" ca="1" si="388"/>
        <v>4.4461429194848616</v>
      </c>
      <c r="H875" s="307">
        <f t="shared" ca="1" si="389"/>
        <v>-111.48367476511739</v>
      </c>
      <c r="I875" s="304">
        <f t="shared" ca="1" si="390"/>
        <v>111.57229909791657</v>
      </c>
      <c r="J875" s="306">
        <f t="shared" ca="1" si="391"/>
        <v>928.20926186620727</v>
      </c>
      <c r="K875" s="307">
        <f t="shared" ca="1" si="392"/>
        <v>-6.3425631560281328</v>
      </c>
      <c r="L875" s="304">
        <f t="shared" ca="1" si="377"/>
        <v>928.23093135361398</v>
      </c>
      <c r="M875" s="306">
        <f t="shared" ca="1" si="393"/>
        <v>-1.5309358905336878</v>
      </c>
      <c r="N875" s="304">
        <f t="shared" ca="1" si="394"/>
        <v>-87.716165232682513</v>
      </c>
      <c r="P875" s="310">
        <f t="shared" ca="1" si="395"/>
        <v>23</v>
      </c>
      <c r="Q875" s="304">
        <f t="shared" ca="1" si="396"/>
        <v>0</v>
      </c>
      <c r="R875" s="306">
        <f t="shared" ca="1" si="397"/>
        <v>0</v>
      </c>
      <c r="S875" s="307">
        <f t="shared" ca="1" si="398"/>
        <v>4.9929999999999914</v>
      </c>
      <c r="T875" s="304">
        <f t="shared" ca="1" si="378"/>
        <v>48.981329999999922</v>
      </c>
      <c r="U875" s="311">
        <f t="shared" ca="1" si="379"/>
        <v>0</v>
      </c>
      <c r="V875" s="306">
        <f t="shared" ca="1" si="380"/>
        <v>1.2257772104619356</v>
      </c>
      <c r="W875" s="304">
        <f t="shared" ca="1" si="381"/>
        <v>49.507013281260271</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-0.11306744552295811</v>
      </c>
      <c r="AH875" s="304">
        <f t="shared" ca="1" si="405"/>
        <v>-9.9152750096369076</v>
      </c>
    </row>
    <row r="876" spans="1:34" x14ac:dyDescent="0.2">
      <c r="A876" s="347">
        <f t="shared" ca="1" si="383"/>
        <v>1E-4</v>
      </c>
      <c r="B876" s="304">
        <f t="shared" ca="1" si="384"/>
        <v>43.907300000000554</v>
      </c>
      <c r="D876" s="306">
        <f t="shared" ca="1" si="385"/>
        <v>-0.39512289652077648</v>
      </c>
      <c r="E876" s="307">
        <f t="shared" ca="1" si="386"/>
        <v>9.740812557529388E-2</v>
      </c>
      <c r="F876" s="304">
        <f t="shared" ca="1" si="387"/>
        <v>0.40695263395518211</v>
      </c>
      <c r="G876" s="306">
        <f t="shared" ca="1" si="388"/>
        <v>4.4461034071952099</v>
      </c>
      <c r="H876" s="307">
        <f t="shared" ca="1" si="389"/>
        <v>-111.48366502430483</v>
      </c>
      <c r="I876" s="304">
        <f t="shared" ca="1" si="390"/>
        <v>111.57228779028814</v>
      </c>
      <c r="J876" s="306">
        <f t="shared" ca="1" si="391"/>
        <v>928.20926186620727</v>
      </c>
      <c r="K876" s="307">
        <f t="shared" ca="1" si="392"/>
        <v>-6.353711523017604</v>
      </c>
      <c r="L876" s="304">
        <f t="shared" ca="1" si="377"/>
        <v>928.2310075968843</v>
      </c>
      <c r="M876" s="306">
        <f t="shared" ca="1" si="393"/>
        <v>-1.5309362409140082</v>
      </c>
      <c r="N876" s="304">
        <f t="shared" ca="1" si="394"/>
        <v>-87.716185307996085</v>
      </c>
      <c r="P876" s="310">
        <f t="shared" ca="1" si="395"/>
        <v>23</v>
      </c>
      <c r="Q876" s="304">
        <f t="shared" ca="1" si="396"/>
        <v>0</v>
      </c>
      <c r="R876" s="306">
        <f t="shared" ca="1" si="397"/>
        <v>0</v>
      </c>
      <c r="S876" s="307">
        <f t="shared" ca="1" si="398"/>
        <v>4.9929999999999914</v>
      </c>
      <c r="T876" s="304">
        <f t="shared" ca="1" si="378"/>
        <v>48.981329999999922</v>
      </c>
      <c r="U876" s="311">
        <f t="shared" ca="1" si="379"/>
        <v>0</v>
      </c>
      <c r="V876" s="306">
        <f t="shared" ca="1" si="380"/>
        <v>1.2257785770042537</v>
      </c>
      <c r="W876" s="304">
        <f t="shared" ca="1" si="381"/>
        <v>49.507058438648436</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-0.11307635283858275</v>
      </c>
      <c r="AH876" s="304">
        <f t="shared" ca="1" si="405"/>
        <v>-9.9152840539275697</v>
      </c>
    </row>
    <row r="877" spans="1:34" x14ac:dyDescent="0.2">
      <c r="A877" s="347">
        <f t="shared" ca="1" si="383"/>
        <v>1E-4</v>
      </c>
      <c r="B877" s="304">
        <f t="shared" ca="1" si="384"/>
        <v>43.907400000000557</v>
      </c>
      <c r="D877" s="306">
        <f t="shared" ca="1" si="385"/>
        <v>-0.39511978556463967</v>
      </c>
      <c r="E877" s="307">
        <f t="shared" ca="1" si="386"/>
        <v>9.7417300973567933E-2</v>
      </c>
      <c r="F877" s="304">
        <f t="shared" ca="1" si="387"/>
        <v>0.40695180976821022</v>
      </c>
      <c r="G877" s="306">
        <f t="shared" ca="1" si="388"/>
        <v>4.4460638952166533</v>
      </c>
      <c r="H877" s="307">
        <f t="shared" ca="1" si="389"/>
        <v>-111.48365528257473</v>
      </c>
      <c r="I877" s="304">
        <f t="shared" ca="1" si="390"/>
        <v>111.57227648176899</v>
      </c>
      <c r="J877" s="306">
        <f t="shared" ca="1" si="391"/>
        <v>928.20926186620727</v>
      </c>
      <c r="K877" s="307">
        <f t="shared" ca="1" si="392"/>
        <v>-6.3648598890329477</v>
      </c>
      <c r="L877" s="304">
        <f t="shared" ca="1" si="377"/>
        <v>928.23108397403735</v>
      </c>
      <c r="M877" s="306">
        <f t="shared" ca="1" si="393"/>
        <v>-1.5309365912912858</v>
      </c>
      <c r="N877" s="304">
        <f t="shared" ca="1" si="394"/>
        <v>-87.716205383135332</v>
      </c>
      <c r="P877" s="310">
        <f t="shared" ca="1" si="395"/>
        <v>23</v>
      </c>
      <c r="Q877" s="304">
        <f t="shared" ca="1" si="396"/>
        <v>0</v>
      </c>
      <c r="R877" s="306">
        <f t="shared" ca="1" si="397"/>
        <v>0</v>
      </c>
      <c r="S877" s="307">
        <f t="shared" ca="1" si="398"/>
        <v>4.9929999999999914</v>
      </c>
      <c r="T877" s="304">
        <f t="shared" ca="1" si="378"/>
        <v>48.981329999999922</v>
      </c>
      <c r="U877" s="311">
        <f t="shared" ca="1" si="379"/>
        <v>0</v>
      </c>
      <c r="V877" s="306">
        <f t="shared" ca="1" si="380"/>
        <v>1.2257799435479768</v>
      </c>
      <c r="W877" s="304">
        <f t="shared" ca="1" si="381"/>
        <v>49.507103595281535</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-0.11308526000536645</v>
      </c>
      <c r="AH877" s="304">
        <f t="shared" ca="1" si="405"/>
        <v>-9.9152930980669982</v>
      </c>
    </row>
    <row r="878" spans="1:34" x14ac:dyDescent="0.2">
      <c r="A878" s="347">
        <f t="shared" ca="1" si="383"/>
        <v>1E-4</v>
      </c>
      <c r="B878" s="304">
        <f t="shared" ca="1" si="384"/>
        <v>43.90750000000056</v>
      </c>
      <c r="D878" s="306">
        <f t="shared" ca="1" si="385"/>
        <v>-0.39511667462624039</v>
      </c>
      <c r="E878" s="307">
        <f t="shared" ca="1" si="386"/>
        <v>9.7426476218572589E-2</v>
      </c>
      <c r="F878" s="304">
        <f t="shared" ca="1" si="387"/>
        <v>0.40695098579075395</v>
      </c>
      <c r="G878" s="306">
        <f t="shared" ca="1" si="388"/>
        <v>4.4460243835491911</v>
      </c>
      <c r="H878" s="307">
        <f t="shared" ca="1" si="389"/>
        <v>-111.48364553992711</v>
      </c>
      <c r="I878" s="304">
        <f t="shared" ca="1" si="390"/>
        <v>111.57226517235914</v>
      </c>
      <c r="J878" s="306">
        <f t="shared" ca="1" si="391"/>
        <v>928.20926186620727</v>
      </c>
      <c r="K878" s="307">
        <f t="shared" ca="1" si="392"/>
        <v>-6.3760082540740726</v>
      </c>
      <c r="L878" s="304">
        <f t="shared" ca="1" si="377"/>
        <v>928.23116048507302</v>
      </c>
      <c r="M878" s="306">
        <f t="shared" ca="1" si="393"/>
        <v>-1.5309369416655207</v>
      </c>
      <c r="N878" s="304">
        <f t="shared" ca="1" si="394"/>
        <v>-87.716225458100254</v>
      </c>
      <c r="P878" s="310">
        <f t="shared" ca="1" si="395"/>
        <v>23</v>
      </c>
      <c r="Q878" s="304">
        <f t="shared" ca="1" si="396"/>
        <v>0</v>
      </c>
      <c r="R878" s="306">
        <f t="shared" ca="1" si="397"/>
        <v>0</v>
      </c>
      <c r="S878" s="307">
        <f t="shared" ca="1" si="398"/>
        <v>4.9929999999999914</v>
      </c>
      <c r="T878" s="304">
        <f t="shared" ca="1" si="378"/>
        <v>48.981329999999922</v>
      </c>
      <c r="U878" s="311">
        <f t="shared" ca="1" si="379"/>
        <v>0</v>
      </c>
      <c r="V878" s="306">
        <f t="shared" ca="1" si="380"/>
        <v>1.2257813100931045</v>
      </c>
      <c r="W878" s="304">
        <f t="shared" ca="1" si="381"/>
        <v>49.507148751159541</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-0.11309416702331809</v>
      </c>
      <c r="AH878" s="304">
        <f t="shared" ca="1" si="405"/>
        <v>-9.9153021420552019</v>
      </c>
    </row>
    <row r="879" spans="1:34" x14ac:dyDescent="0.2">
      <c r="A879" s="347">
        <f t="shared" ca="1" si="383"/>
        <v>1E-4</v>
      </c>
      <c r="B879" s="304">
        <f t="shared" ca="1" si="384"/>
        <v>43.907600000000564</v>
      </c>
      <c r="D879" s="306">
        <f t="shared" ca="1" si="385"/>
        <v>-0.39511356370557882</v>
      </c>
      <c r="E879" s="307">
        <f t="shared" ca="1" si="386"/>
        <v>9.7435651310298965E-2</v>
      </c>
      <c r="F879" s="304">
        <f t="shared" ca="1" si="387"/>
        <v>0.40695016202280182</v>
      </c>
      <c r="G879" s="306">
        <f t="shared" ca="1" si="388"/>
        <v>4.4459848721928203</v>
      </c>
      <c r="H879" s="307">
        <f t="shared" ca="1" si="389"/>
        <v>-111.48363579636198</v>
      </c>
      <c r="I879" s="304">
        <f t="shared" ca="1" si="390"/>
        <v>111.5722538620586</v>
      </c>
      <c r="J879" s="306">
        <f t="shared" ca="1" si="391"/>
        <v>928.20926186620727</v>
      </c>
      <c r="K879" s="307">
        <f t="shared" ca="1" si="392"/>
        <v>-6.387156618140887</v>
      </c>
      <c r="L879" s="304">
        <f t="shared" ca="1" si="377"/>
        <v>928.2312371299912</v>
      </c>
      <c r="M879" s="306">
        <f t="shared" ca="1" si="393"/>
        <v>-1.530937292036713</v>
      </c>
      <c r="N879" s="304">
        <f t="shared" ca="1" si="394"/>
        <v>-87.716245532890838</v>
      </c>
      <c r="P879" s="310">
        <f t="shared" ca="1" si="395"/>
        <v>23</v>
      </c>
      <c r="Q879" s="304">
        <f t="shared" ca="1" si="396"/>
        <v>0</v>
      </c>
      <c r="R879" s="306">
        <f t="shared" ca="1" si="397"/>
        <v>0</v>
      </c>
      <c r="S879" s="307">
        <f t="shared" ca="1" si="398"/>
        <v>4.9929999999999914</v>
      </c>
      <c r="T879" s="304">
        <f t="shared" ca="1" si="378"/>
        <v>48.981329999999922</v>
      </c>
      <c r="U879" s="311">
        <f t="shared" ca="1" si="379"/>
        <v>0</v>
      </c>
      <c r="V879" s="306">
        <f t="shared" ca="1" si="380"/>
        <v>1.2257826766396362</v>
      </c>
      <c r="W879" s="304">
        <f t="shared" ca="1" si="381"/>
        <v>49.50719390628246</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-0.11310307389243057</v>
      </c>
      <c r="AH879" s="304">
        <f t="shared" ca="1" si="405"/>
        <v>-9.9153111858921736</v>
      </c>
    </row>
    <row r="880" spans="1:34" x14ac:dyDescent="0.2">
      <c r="A880" s="347">
        <f t="shared" ca="1" si="383"/>
        <v>1E-4</v>
      </c>
      <c r="B880" s="304">
        <f t="shared" ca="1" si="384"/>
        <v>43.907700000000567</v>
      </c>
      <c r="D880" s="306">
        <f t="shared" ca="1" si="385"/>
        <v>-0.39511045280265528</v>
      </c>
      <c r="E880" s="307">
        <f t="shared" ca="1" si="386"/>
        <v>9.7444826248754168E-2</v>
      </c>
      <c r="F880" s="304">
        <f t="shared" ca="1" si="387"/>
        <v>0.40694933846434639</v>
      </c>
      <c r="G880" s="306">
        <f t="shared" ca="1" si="388"/>
        <v>4.4459453611475404</v>
      </c>
      <c r="H880" s="307">
        <f t="shared" ca="1" si="389"/>
        <v>-111.48362605187936</v>
      </c>
      <c r="I880" s="304">
        <f t="shared" ca="1" si="390"/>
        <v>111.57224255086739</v>
      </c>
      <c r="J880" s="306">
        <f t="shared" ca="1" si="391"/>
        <v>928.20926186620727</v>
      </c>
      <c r="K880" s="307">
        <f t="shared" ca="1" si="392"/>
        <v>-6.3983049812332986</v>
      </c>
      <c r="L880" s="304">
        <f t="shared" ca="1" si="377"/>
        <v>928.23131390879189</v>
      </c>
      <c r="M880" s="306">
        <f t="shared" ca="1" si="393"/>
        <v>-1.5309376424048624</v>
      </c>
      <c r="N880" s="304">
        <f t="shared" ca="1" si="394"/>
        <v>-87.716265607507069</v>
      </c>
      <c r="P880" s="310">
        <f t="shared" ca="1" si="395"/>
        <v>23</v>
      </c>
      <c r="Q880" s="304">
        <f t="shared" ca="1" si="396"/>
        <v>0</v>
      </c>
      <c r="R880" s="306">
        <f t="shared" ca="1" si="397"/>
        <v>0</v>
      </c>
      <c r="S880" s="307">
        <f t="shared" ca="1" si="398"/>
        <v>4.9929999999999914</v>
      </c>
      <c r="T880" s="304">
        <f t="shared" ca="1" si="378"/>
        <v>48.981329999999922</v>
      </c>
      <c r="U880" s="311">
        <f t="shared" ca="1" si="379"/>
        <v>0</v>
      </c>
      <c r="V880" s="306">
        <f t="shared" ca="1" si="380"/>
        <v>1.2257840431875728</v>
      </c>
      <c r="W880" s="304">
        <f t="shared" ca="1" si="381"/>
        <v>49.507239060650328</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-0.11311198061270922</v>
      </c>
      <c r="AH880" s="304">
        <f t="shared" ca="1" si="405"/>
        <v>-9.9153202295779188</v>
      </c>
    </row>
    <row r="881" spans="1:34" x14ac:dyDescent="0.2">
      <c r="A881" s="347">
        <f t="shared" ca="1" si="383"/>
        <v>1E-4</v>
      </c>
      <c r="B881" s="304">
        <f t="shared" ca="1" si="384"/>
        <v>43.90780000000057</v>
      </c>
      <c r="D881" s="306">
        <f t="shared" ca="1" si="385"/>
        <v>-0.39510734191747238</v>
      </c>
      <c r="E881" s="307">
        <f t="shared" ca="1" si="386"/>
        <v>9.7454001033936422E-2</v>
      </c>
      <c r="F881" s="304">
        <f t="shared" ca="1" si="387"/>
        <v>0.40694851511538027</v>
      </c>
      <c r="G881" s="306">
        <f t="shared" ca="1" si="388"/>
        <v>4.4459058504133484</v>
      </c>
      <c r="H881" s="307">
        <f t="shared" ca="1" si="389"/>
        <v>-111.48361630647925</v>
      </c>
      <c r="I881" s="304">
        <f t="shared" ca="1" si="390"/>
        <v>111.57223123878551</v>
      </c>
      <c r="J881" s="306">
        <f t="shared" ca="1" si="391"/>
        <v>928.20926186620727</v>
      </c>
      <c r="K881" s="307">
        <f t="shared" ca="1" si="392"/>
        <v>-6.4094533433512169</v>
      </c>
      <c r="L881" s="304">
        <f t="shared" ca="1" si="377"/>
        <v>928.23139082147497</v>
      </c>
      <c r="M881" s="306">
        <f t="shared" ca="1" si="393"/>
        <v>-1.5309379927699693</v>
      </c>
      <c r="N881" s="304">
        <f t="shared" ca="1" si="394"/>
        <v>-87.716285681948989</v>
      </c>
      <c r="P881" s="310">
        <f t="shared" ca="1" si="395"/>
        <v>23</v>
      </c>
      <c r="Q881" s="304">
        <f t="shared" ca="1" si="396"/>
        <v>0</v>
      </c>
      <c r="R881" s="306">
        <f t="shared" ca="1" si="397"/>
        <v>0</v>
      </c>
      <c r="S881" s="307">
        <f t="shared" ca="1" si="398"/>
        <v>4.9929999999999914</v>
      </c>
      <c r="T881" s="304">
        <f t="shared" ca="1" si="378"/>
        <v>48.981329999999922</v>
      </c>
      <c r="U881" s="311">
        <f t="shared" ca="1" si="379"/>
        <v>0</v>
      </c>
      <c r="V881" s="306">
        <f t="shared" ca="1" si="380"/>
        <v>1.2257854097369141</v>
      </c>
      <c r="W881" s="304">
        <f t="shared" ca="1" si="381"/>
        <v>49.507284214263144</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-0.11312088718415758</v>
      </c>
      <c r="AH881" s="304">
        <f t="shared" ca="1" si="405"/>
        <v>-9.9153292731124392</v>
      </c>
    </row>
    <row r="882" spans="1:34" x14ac:dyDescent="0.2">
      <c r="A882" s="347">
        <f t="shared" ca="1" si="383"/>
        <v>1E-4</v>
      </c>
      <c r="B882" s="304">
        <f t="shared" ca="1" si="384"/>
        <v>43.907900000000573</v>
      </c>
      <c r="D882" s="306">
        <f t="shared" ca="1" si="385"/>
        <v>-0.39510423105002612</v>
      </c>
      <c r="E882" s="307">
        <f t="shared" ca="1" si="386"/>
        <v>9.7463175665854607E-2</v>
      </c>
      <c r="F882" s="304">
        <f t="shared" ca="1" si="387"/>
        <v>0.40694769197589226</v>
      </c>
      <c r="G882" s="306">
        <f t="shared" ca="1" si="388"/>
        <v>4.4458663399902436</v>
      </c>
      <c r="H882" s="307">
        <f t="shared" ca="1" si="389"/>
        <v>-111.48360656016168</v>
      </c>
      <c r="I882" s="304">
        <f t="shared" ca="1" si="390"/>
        <v>111.57221992581299</v>
      </c>
      <c r="J882" s="306">
        <f t="shared" ca="1" si="391"/>
        <v>928.20926186620727</v>
      </c>
      <c r="K882" s="307">
        <f t="shared" ca="1" si="392"/>
        <v>-6.4206017044945485</v>
      </c>
      <c r="L882" s="304">
        <f t="shared" ca="1" si="377"/>
        <v>928.23146786804045</v>
      </c>
      <c r="M882" s="306">
        <f t="shared" ca="1" si="393"/>
        <v>-1.5309383431320336</v>
      </c>
      <c r="N882" s="304">
        <f t="shared" ca="1" si="394"/>
        <v>-87.71630575621657</v>
      </c>
      <c r="P882" s="310">
        <f t="shared" ca="1" si="395"/>
        <v>23</v>
      </c>
      <c r="Q882" s="304">
        <f t="shared" ca="1" si="396"/>
        <v>0</v>
      </c>
      <c r="R882" s="306">
        <f t="shared" ca="1" si="397"/>
        <v>0</v>
      </c>
      <c r="S882" s="307">
        <f t="shared" ca="1" si="398"/>
        <v>4.9929999999999914</v>
      </c>
      <c r="T882" s="304">
        <f t="shared" ca="1" si="378"/>
        <v>48.981329999999922</v>
      </c>
      <c r="U882" s="311">
        <f t="shared" ca="1" si="379"/>
        <v>0</v>
      </c>
      <c r="V882" s="306">
        <f t="shared" ca="1" si="380"/>
        <v>1.2257867762876595</v>
      </c>
      <c r="W882" s="304">
        <f t="shared" ca="1" si="381"/>
        <v>49.507329367120917</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-0.11312979360677744</v>
      </c>
      <c r="AH882" s="304">
        <f t="shared" ca="1" si="405"/>
        <v>-9.91533831649574</v>
      </c>
    </row>
    <row r="883" spans="1:34" x14ac:dyDescent="0.2">
      <c r="A883" s="347">
        <f t="shared" ca="1" si="383"/>
        <v>1E-4</v>
      </c>
      <c r="B883" s="304">
        <f t="shared" ca="1" si="384"/>
        <v>43.908000000000577</v>
      </c>
      <c r="D883" s="306">
        <f t="shared" ca="1" si="385"/>
        <v>-0.3951011202003189</v>
      </c>
      <c r="E883" s="307">
        <f t="shared" ca="1" si="386"/>
        <v>9.7472350144505171E-2</v>
      </c>
      <c r="F883" s="304">
        <f t="shared" ca="1" si="387"/>
        <v>0.40694686904587418</v>
      </c>
      <c r="G883" s="306">
        <f t="shared" ca="1" si="388"/>
        <v>4.4458268298782233</v>
      </c>
      <c r="H883" s="307">
        <f t="shared" ca="1" si="389"/>
        <v>-111.48359681292666</v>
      </c>
      <c r="I883" s="304">
        <f t="shared" ca="1" si="390"/>
        <v>111.57220861194986</v>
      </c>
      <c r="J883" s="306">
        <f t="shared" ca="1" si="391"/>
        <v>928.20926186620727</v>
      </c>
      <c r="K883" s="307">
        <f t="shared" ca="1" si="392"/>
        <v>-6.4317500646632029</v>
      </c>
      <c r="L883" s="304">
        <f t="shared" ca="1" si="377"/>
        <v>928.23154504848821</v>
      </c>
      <c r="M883" s="306">
        <f t="shared" ca="1" si="393"/>
        <v>-1.5309386934910552</v>
      </c>
      <c r="N883" s="304">
        <f t="shared" ca="1" si="394"/>
        <v>-87.716325830309813</v>
      </c>
      <c r="P883" s="310">
        <f t="shared" ca="1" si="395"/>
        <v>23</v>
      </c>
      <c r="Q883" s="304">
        <f t="shared" ca="1" si="396"/>
        <v>0</v>
      </c>
      <c r="R883" s="306">
        <f t="shared" ca="1" si="397"/>
        <v>0</v>
      </c>
      <c r="S883" s="307">
        <f t="shared" ca="1" si="398"/>
        <v>4.9929999999999914</v>
      </c>
      <c r="T883" s="304">
        <f t="shared" ca="1" si="378"/>
        <v>48.981329999999922</v>
      </c>
      <c r="U883" s="311">
        <f t="shared" ca="1" si="379"/>
        <v>0</v>
      </c>
      <c r="V883" s="306">
        <f t="shared" ca="1" si="380"/>
        <v>1.2257881428398096</v>
      </c>
      <c r="W883" s="304">
        <f t="shared" ca="1" si="381"/>
        <v>49.507374519223681</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-0.11313869988056879</v>
      </c>
      <c r="AH883" s="304">
        <f t="shared" ca="1" si="405"/>
        <v>-9.9153473597278197</v>
      </c>
    </row>
    <row r="884" spans="1:34" x14ac:dyDescent="0.2">
      <c r="A884" s="347">
        <f t="shared" ca="1" si="383"/>
        <v>1E-4</v>
      </c>
      <c r="B884" s="304">
        <f t="shared" ca="1" si="384"/>
        <v>43.90810000000058</v>
      </c>
      <c r="D884" s="306">
        <f t="shared" ca="1" si="385"/>
        <v>-0.39509800936835121</v>
      </c>
      <c r="E884" s="307">
        <f t="shared" ca="1" si="386"/>
        <v>9.7481524469896996E-2</v>
      </c>
      <c r="F884" s="304">
        <f t="shared" ca="1" si="387"/>
        <v>0.40694604632531922</v>
      </c>
      <c r="G884" s="306">
        <f t="shared" ca="1" si="388"/>
        <v>4.4457873200772866</v>
      </c>
      <c r="H884" s="307">
        <f t="shared" ca="1" si="389"/>
        <v>-111.48358706477421</v>
      </c>
      <c r="I884" s="304">
        <f t="shared" ca="1" si="390"/>
        <v>111.5721972971961</v>
      </c>
      <c r="J884" s="306">
        <f t="shared" ca="1" si="391"/>
        <v>928.20926186620727</v>
      </c>
      <c r="K884" s="307">
        <f t="shared" ca="1" si="392"/>
        <v>-6.4428984238570877</v>
      </c>
      <c r="L884" s="304">
        <f t="shared" ca="1" si="377"/>
        <v>928.23162236281814</v>
      </c>
      <c r="M884" s="306">
        <f t="shared" ca="1" si="393"/>
        <v>-1.5309390438470343</v>
      </c>
      <c r="N884" s="304">
        <f t="shared" ca="1" si="394"/>
        <v>-87.716345904228746</v>
      </c>
      <c r="P884" s="310">
        <f t="shared" ca="1" si="395"/>
        <v>23</v>
      </c>
      <c r="Q884" s="304">
        <f t="shared" ca="1" si="396"/>
        <v>0</v>
      </c>
      <c r="R884" s="306">
        <f t="shared" ca="1" si="397"/>
        <v>0</v>
      </c>
      <c r="S884" s="307">
        <f t="shared" ca="1" si="398"/>
        <v>4.9929999999999914</v>
      </c>
      <c r="T884" s="304">
        <f t="shared" ca="1" si="378"/>
        <v>48.981329999999922</v>
      </c>
      <c r="U884" s="311">
        <f t="shared" ca="1" si="379"/>
        <v>0</v>
      </c>
      <c r="V884" s="306">
        <f t="shared" ca="1" si="380"/>
        <v>1.225789509393364</v>
      </c>
      <c r="W884" s="304">
        <f t="shared" ca="1" si="381"/>
        <v>49.507419670571387</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-0.11314760600553875</v>
      </c>
      <c r="AH884" s="304">
        <f t="shared" ca="1" si="405"/>
        <v>-9.9153564028086851</v>
      </c>
    </row>
    <row r="885" spans="1:34" x14ac:dyDescent="0.2">
      <c r="A885" s="347">
        <f t="shared" ca="1" si="383"/>
        <v>1E-4</v>
      </c>
      <c r="B885" s="304">
        <f t="shared" ca="1" si="384"/>
        <v>43.908200000000583</v>
      </c>
      <c r="D885" s="306">
        <f t="shared" ca="1" si="385"/>
        <v>-0.39509489855412072</v>
      </c>
      <c r="E885" s="307">
        <f t="shared" ca="1" si="386"/>
        <v>9.7490698642019424E-2</v>
      </c>
      <c r="F885" s="304">
        <f t="shared" ca="1" si="387"/>
        <v>0.40694522381421311</v>
      </c>
      <c r="G885" s="306">
        <f t="shared" ca="1" si="388"/>
        <v>4.4457478105874308</v>
      </c>
      <c r="H885" s="307">
        <f t="shared" ca="1" si="389"/>
        <v>-111.48357731570435</v>
      </c>
      <c r="I885" s="304">
        <f t="shared" ca="1" si="390"/>
        <v>111.57218598155175</v>
      </c>
      <c r="J885" s="306">
        <f t="shared" ca="1" si="391"/>
        <v>928.20926186620727</v>
      </c>
      <c r="K885" s="307">
        <f t="shared" ca="1" si="392"/>
        <v>-6.4540467820761114</v>
      </c>
      <c r="L885" s="304">
        <f t="shared" ca="1" si="377"/>
        <v>928.23169981103024</v>
      </c>
      <c r="M885" s="306">
        <f t="shared" ca="1" si="393"/>
        <v>-1.5309393941999709</v>
      </c>
      <c r="N885" s="304">
        <f t="shared" ca="1" si="394"/>
        <v>-87.716365977973354</v>
      </c>
      <c r="P885" s="310">
        <f t="shared" ca="1" si="395"/>
        <v>23</v>
      </c>
      <c r="Q885" s="304">
        <f t="shared" ca="1" si="396"/>
        <v>0</v>
      </c>
      <c r="R885" s="306">
        <f t="shared" ca="1" si="397"/>
        <v>0</v>
      </c>
      <c r="S885" s="307">
        <f t="shared" ca="1" si="398"/>
        <v>4.9929999999999914</v>
      </c>
      <c r="T885" s="304">
        <f t="shared" ca="1" si="378"/>
        <v>48.981329999999922</v>
      </c>
      <c r="U885" s="311">
        <f t="shared" ca="1" si="379"/>
        <v>0</v>
      </c>
      <c r="V885" s="306">
        <f t="shared" ca="1" si="380"/>
        <v>1.2257908759483229</v>
      </c>
      <c r="W885" s="304">
        <f t="shared" ca="1" si="381"/>
        <v>49.50746482116412</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-0.11315651198167842</v>
      </c>
      <c r="AH885" s="304">
        <f t="shared" ca="1" si="405"/>
        <v>-9.9153654457383276</v>
      </c>
    </row>
    <row r="886" spans="1:34" x14ac:dyDescent="0.2">
      <c r="A886" s="347">
        <f t="shared" ca="1" si="383"/>
        <v>1E-4</v>
      </c>
      <c r="B886" s="304">
        <f t="shared" ca="1" si="384"/>
        <v>43.908300000000587</v>
      </c>
      <c r="D886" s="306">
        <f t="shared" ca="1" si="385"/>
        <v>-0.39509178775762849</v>
      </c>
      <c r="E886" s="307">
        <f t="shared" ca="1" si="386"/>
        <v>9.7499872660890219E-2</v>
      </c>
      <c r="F886" s="304">
        <f t="shared" ca="1" si="387"/>
        <v>0.40694440151255151</v>
      </c>
      <c r="G886" s="306">
        <f t="shared" ca="1" si="388"/>
        <v>4.4457083014086551</v>
      </c>
      <c r="H886" s="307">
        <f t="shared" ca="1" si="389"/>
        <v>-111.48356756571708</v>
      </c>
      <c r="I886" s="304">
        <f t="shared" ca="1" si="390"/>
        <v>111.57217466501682</v>
      </c>
      <c r="J886" s="306">
        <f t="shared" ca="1" si="391"/>
        <v>928.20926186620727</v>
      </c>
      <c r="K886" s="307">
        <f t="shared" ca="1" si="392"/>
        <v>-6.4651951393201825</v>
      </c>
      <c r="L886" s="304">
        <f t="shared" ca="1" si="377"/>
        <v>928.23177739312439</v>
      </c>
      <c r="M886" s="306">
        <f t="shared" ca="1" si="393"/>
        <v>-1.5309397445498651</v>
      </c>
      <c r="N886" s="304">
        <f t="shared" ca="1" si="394"/>
        <v>-87.716386051543651</v>
      </c>
      <c r="P886" s="310">
        <f t="shared" ca="1" si="395"/>
        <v>23</v>
      </c>
      <c r="Q886" s="304">
        <f t="shared" ca="1" si="396"/>
        <v>0</v>
      </c>
      <c r="R886" s="306">
        <f t="shared" ca="1" si="397"/>
        <v>0</v>
      </c>
      <c r="S886" s="307">
        <f t="shared" ca="1" si="398"/>
        <v>4.9929999999999914</v>
      </c>
      <c r="T886" s="304">
        <f t="shared" ca="1" si="378"/>
        <v>48.981329999999922</v>
      </c>
      <c r="U886" s="311">
        <f t="shared" ca="1" si="379"/>
        <v>0</v>
      </c>
      <c r="V886" s="306">
        <f t="shared" ca="1" si="380"/>
        <v>1.2257922425046865</v>
      </c>
      <c r="W886" s="304">
        <f t="shared" ca="1" si="381"/>
        <v>49.507509971001845</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-0.11316541780900558</v>
      </c>
      <c r="AH886" s="304">
        <f t="shared" ca="1" si="405"/>
        <v>-9.9153744885167647</v>
      </c>
    </row>
    <row r="887" spans="1:34" x14ac:dyDescent="0.2">
      <c r="A887" s="347">
        <f t="shared" ca="1" si="383"/>
        <v>1E-4</v>
      </c>
      <c r="B887" s="304">
        <f t="shared" ca="1" si="384"/>
        <v>43.90840000000059</v>
      </c>
      <c r="D887" s="306">
        <f t="shared" ca="1" si="385"/>
        <v>-0.39508867697887429</v>
      </c>
      <c r="E887" s="307">
        <f t="shared" ca="1" si="386"/>
        <v>9.7509046526502274E-2</v>
      </c>
      <c r="F887" s="304">
        <f t="shared" ca="1" si="387"/>
        <v>0.40694357942032316</v>
      </c>
      <c r="G887" s="306">
        <f t="shared" ca="1" si="388"/>
        <v>4.4456687925409568</v>
      </c>
      <c r="H887" s="307">
        <f t="shared" ca="1" si="389"/>
        <v>-111.48355781481243</v>
      </c>
      <c r="I887" s="304">
        <f t="shared" ca="1" si="390"/>
        <v>111.57216334759131</v>
      </c>
      <c r="J887" s="306">
        <f t="shared" ca="1" si="391"/>
        <v>928.20926186620727</v>
      </c>
      <c r="K887" s="307">
        <f t="shared" ca="1" si="392"/>
        <v>-6.4763434955892087</v>
      </c>
      <c r="L887" s="304">
        <f t="shared" ca="1" si="377"/>
        <v>928.23185510910048</v>
      </c>
      <c r="M887" s="306">
        <f t="shared" ca="1" si="393"/>
        <v>-1.5309400948967167</v>
      </c>
      <c r="N887" s="304">
        <f t="shared" ca="1" si="394"/>
        <v>-87.71640612493961</v>
      </c>
      <c r="P887" s="310">
        <f t="shared" ca="1" si="395"/>
        <v>23</v>
      </c>
      <c r="Q887" s="304">
        <f t="shared" ca="1" si="396"/>
        <v>0</v>
      </c>
      <c r="R887" s="306">
        <f t="shared" ca="1" si="397"/>
        <v>0</v>
      </c>
      <c r="S887" s="307">
        <f t="shared" ca="1" si="398"/>
        <v>4.9929999999999914</v>
      </c>
      <c r="T887" s="304">
        <f t="shared" ca="1" si="378"/>
        <v>48.981329999999922</v>
      </c>
      <c r="U887" s="311">
        <f t="shared" ca="1" si="379"/>
        <v>0</v>
      </c>
      <c r="V887" s="306">
        <f t="shared" ca="1" si="380"/>
        <v>1.2257936090624542</v>
      </c>
      <c r="W887" s="304">
        <f t="shared" ca="1" si="381"/>
        <v>49.507555120084554</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-0.11317432348750955</v>
      </c>
      <c r="AH887" s="304">
        <f t="shared" ca="1" si="405"/>
        <v>-9.9153835311439877</v>
      </c>
    </row>
    <row r="888" spans="1:34" x14ac:dyDescent="0.2">
      <c r="A888" s="347">
        <f t="shared" ca="1" si="383"/>
        <v>1E-4</v>
      </c>
      <c r="B888" s="304">
        <f t="shared" ca="1" si="384"/>
        <v>43.908500000000593</v>
      </c>
      <c r="D888" s="306">
        <f t="shared" ca="1" si="385"/>
        <v>-0.39508556621786062</v>
      </c>
      <c r="E888" s="307">
        <f t="shared" ca="1" si="386"/>
        <v>9.7518220238853814E-2</v>
      </c>
      <c r="F888" s="304">
        <f t="shared" ca="1" si="387"/>
        <v>0.40694275753752041</v>
      </c>
      <c r="G888" s="306">
        <f t="shared" ca="1" si="388"/>
        <v>4.445629283984335</v>
      </c>
      <c r="H888" s="307">
        <f t="shared" ca="1" si="389"/>
        <v>-111.48354806299041</v>
      </c>
      <c r="I888" s="304">
        <f t="shared" ca="1" si="390"/>
        <v>111.57215202927526</v>
      </c>
      <c r="J888" s="306">
        <f t="shared" ca="1" si="391"/>
        <v>928.20926186620727</v>
      </c>
      <c r="K888" s="307">
        <f t="shared" ca="1" si="392"/>
        <v>-6.4874918508830985</v>
      </c>
      <c r="L888" s="304">
        <f t="shared" ca="1" si="377"/>
        <v>928.23193295895862</v>
      </c>
      <c r="M888" s="306">
        <f t="shared" ca="1" si="393"/>
        <v>-1.5309404452405257</v>
      </c>
      <c r="N888" s="304">
        <f t="shared" ca="1" si="394"/>
        <v>-87.716426198161244</v>
      </c>
      <c r="P888" s="310">
        <f t="shared" ca="1" si="395"/>
        <v>23</v>
      </c>
      <c r="Q888" s="304">
        <f t="shared" ca="1" si="396"/>
        <v>0</v>
      </c>
      <c r="R888" s="306">
        <f t="shared" ca="1" si="397"/>
        <v>0</v>
      </c>
      <c r="S888" s="307">
        <f t="shared" ca="1" si="398"/>
        <v>4.9929999999999914</v>
      </c>
      <c r="T888" s="304">
        <f t="shared" ca="1" si="378"/>
        <v>48.981329999999922</v>
      </c>
      <c r="U888" s="311">
        <f t="shared" ca="1" si="379"/>
        <v>0</v>
      </c>
      <c r="V888" s="306">
        <f t="shared" ca="1" si="380"/>
        <v>1.2257949756216266</v>
      </c>
      <c r="W888" s="304">
        <f t="shared" ca="1" si="381"/>
        <v>49.507600268412318</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-0.11318322901719213</v>
      </c>
      <c r="AH888" s="304">
        <f t="shared" ca="1" si="405"/>
        <v>-9.9153925736199966</v>
      </c>
    </row>
    <row r="889" spans="1:34" x14ac:dyDescent="0.2">
      <c r="A889" s="347">
        <f t="shared" ca="1" si="383"/>
        <v>1E-4</v>
      </c>
      <c r="B889" s="304">
        <f t="shared" ca="1" si="384"/>
        <v>43.908600000000597</v>
      </c>
      <c r="D889" s="306">
        <f t="shared" ca="1" si="385"/>
        <v>-0.39508245547458604</v>
      </c>
      <c r="E889" s="307">
        <f t="shared" ca="1" si="386"/>
        <v>9.752739379795905E-2</v>
      </c>
      <c r="F889" s="304">
        <f t="shared" ca="1" si="387"/>
        <v>0.40694193586413585</v>
      </c>
      <c r="G889" s="306">
        <f t="shared" ca="1" si="388"/>
        <v>4.4455897757387879</v>
      </c>
      <c r="H889" s="307">
        <f t="shared" ca="1" si="389"/>
        <v>-111.48353831025103</v>
      </c>
      <c r="I889" s="304">
        <f t="shared" ca="1" si="390"/>
        <v>111.57214071006867</v>
      </c>
      <c r="J889" s="306">
        <f t="shared" ca="1" si="391"/>
        <v>928.20926186620727</v>
      </c>
      <c r="K889" s="307">
        <f t="shared" ca="1" si="392"/>
        <v>-6.4986402052017604</v>
      </c>
      <c r="L889" s="304">
        <f t="shared" ca="1" si="377"/>
        <v>928.23201094269848</v>
      </c>
      <c r="M889" s="306">
        <f t="shared" ca="1" si="393"/>
        <v>-1.5309407955812926</v>
      </c>
      <c r="N889" s="304">
        <f t="shared" ca="1" si="394"/>
        <v>-87.716446271208582</v>
      </c>
      <c r="P889" s="310">
        <f t="shared" ca="1" si="395"/>
        <v>23</v>
      </c>
      <c r="Q889" s="304">
        <f t="shared" ca="1" si="396"/>
        <v>0</v>
      </c>
      <c r="R889" s="306">
        <f t="shared" ca="1" si="397"/>
        <v>0</v>
      </c>
      <c r="S889" s="307">
        <f t="shared" ca="1" si="398"/>
        <v>4.9929999999999914</v>
      </c>
      <c r="T889" s="304">
        <f t="shared" ca="1" si="378"/>
        <v>48.981329999999922</v>
      </c>
      <c r="U889" s="311">
        <f t="shared" ca="1" si="379"/>
        <v>0</v>
      </c>
      <c r="V889" s="306">
        <f t="shared" ca="1" si="380"/>
        <v>1.2257963421822036</v>
      </c>
      <c r="W889" s="304">
        <f t="shared" ca="1" si="381"/>
        <v>49.507645415985117</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-0.11319213439806575</v>
      </c>
      <c r="AH889" s="304">
        <f t="shared" ca="1" si="405"/>
        <v>-9.9154016159448037</v>
      </c>
    </row>
    <row r="890" spans="1:34" x14ac:dyDescent="0.2">
      <c r="A890" s="347">
        <f t="shared" ca="1" si="383"/>
        <v>1E-4</v>
      </c>
      <c r="B890" s="304">
        <f t="shared" ca="1" si="384"/>
        <v>43.9087000000006</v>
      </c>
      <c r="D890" s="306">
        <f t="shared" ca="1" si="385"/>
        <v>-0.39507934474904838</v>
      </c>
      <c r="E890" s="307">
        <f t="shared" ca="1" si="386"/>
        <v>9.7536567203812652E-2</v>
      </c>
      <c r="F890" s="304">
        <f t="shared" ca="1" si="387"/>
        <v>0.40694111440015651</v>
      </c>
      <c r="G890" s="306">
        <f t="shared" ca="1" si="388"/>
        <v>4.4455502678043128</v>
      </c>
      <c r="H890" s="307">
        <f t="shared" ca="1" si="389"/>
        <v>-111.48352855659431</v>
      </c>
      <c r="I890" s="304">
        <f t="shared" ca="1" si="390"/>
        <v>111.57212938997155</v>
      </c>
      <c r="J890" s="306">
        <f t="shared" ca="1" si="391"/>
        <v>928.20926186620727</v>
      </c>
      <c r="K890" s="307">
        <f t="shared" ca="1" si="392"/>
        <v>-6.509788558545103</v>
      </c>
      <c r="L890" s="304">
        <f t="shared" ca="1" si="377"/>
        <v>928.23208906032028</v>
      </c>
      <c r="M890" s="306">
        <f t="shared" ca="1" si="393"/>
        <v>-1.530941145919017</v>
      </c>
      <c r="N890" s="304">
        <f t="shared" ca="1" si="394"/>
        <v>-87.716466344081581</v>
      </c>
      <c r="P890" s="310">
        <f t="shared" ca="1" si="395"/>
        <v>23</v>
      </c>
      <c r="Q890" s="304">
        <f t="shared" ca="1" si="396"/>
        <v>0</v>
      </c>
      <c r="R890" s="306">
        <f t="shared" ca="1" si="397"/>
        <v>0</v>
      </c>
      <c r="S890" s="307">
        <f t="shared" ca="1" si="398"/>
        <v>4.9929999999999914</v>
      </c>
      <c r="T890" s="304">
        <f t="shared" ca="1" si="378"/>
        <v>48.981329999999922</v>
      </c>
      <c r="U890" s="311">
        <f t="shared" ca="1" si="379"/>
        <v>0</v>
      </c>
      <c r="V890" s="306">
        <f t="shared" ca="1" si="380"/>
        <v>1.2257977087441847</v>
      </c>
      <c r="W890" s="304">
        <f t="shared" ca="1" si="381"/>
        <v>49.507690562802942</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-0.11320103963012684</v>
      </c>
      <c r="AH890" s="304">
        <f t="shared" ca="1" si="405"/>
        <v>-9.9154106581184056</v>
      </c>
    </row>
    <row r="891" spans="1:34" x14ac:dyDescent="0.2">
      <c r="A891" s="347">
        <f t="shared" ca="1" si="383"/>
        <v>1E-4</v>
      </c>
      <c r="B891" s="304">
        <f t="shared" ca="1" si="384"/>
        <v>43.908800000000603</v>
      </c>
      <c r="D891" s="306">
        <f t="shared" ca="1" si="385"/>
        <v>-0.39507623404125009</v>
      </c>
      <c r="E891" s="307">
        <f t="shared" ca="1" si="386"/>
        <v>9.7545740456416397E-2</v>
      </c>
      <c r="F891" s="304">
        <f t="shared" ca="1" si="387"/>
        <v>0.40694029314557578</v>
      </c>
      <c r="G891" s="306">
        <f t="shared" ca="1" si="388"/>
        <v>4.445510760180909</v>
      </c>
      <c r="H891" s="307">
        <f t="shared" ca="1" si="389"/>
        <v>-111.48351880202026</v>
      </c>
      <c r="I891" s="304">
        <f t="shared" ca="1" si="390"/>
        <v>111.57211806898391</v>
      </c>
      <c r="J891" s="306">
        <f t="shared" ca="1" si="391"/>
        <v>928.20926186620727</v>
      </c>
      <c r="K891" s="307">
        <f t="shared" ca="1" si="392"/>
        <v>-6.5209369109130337</v>
      </c>
      <c r="L891" s="304">
        <f t="shared" ca="1" si="377"/>
        <v>928.23216731182367</v>
      </c>
      <c r="M891" s="306">
        <f t="shared" ca="1" si="393"/>
        <v>-1.5309414962536989</v>
      </c>
      <c r="N891" s="304">
        <f t="shared" ca="1" si="394"/>
        <v>-87.716486416780285</v>
      </c>
      <c r="P891" s="310">
        <f t="shared" ca="1" si="395"/>
        <v>23</v>
      </c>
      <c r="Q891" s="304">
        <f t="shared" ca="1" si="396"/>
        <v>0</v>
      </c>
      <c r="R891" s="306">
        <f t="shared" ca="1" si="397"/>
        <v>0</v>
      </c>
      <c r="S891" s="307">
        <f t="shared" ca="1" si="398"/>
        <v>4.9929999999999914</v>
      </c>
      <c r="T891" s="304">
        <f t="shared" ca="1" si="378"/>
        <v>48.981329999999922</v>
      </c>
      <c r="U891" s="311">
        <f t="shared" ca="1" si="379"/>
        <v>0</v>
      </c>
      <c r="V891" s="306">
        <f t="shared" ca="1" si="380"/>
        <v>1.2257990753075705</v>
      </c>
      <c r="W891" s="304">
        <f t="shared" ca="1" si="381"/>
        <v>49.50773570886583</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-0.11320994471337542</v>
      </c>
      <c r="AH891" s="304">
        <f t="shared" ca="1" si="405"/>
        <v>-9.9154197001408022</v>
      </c>
    </row>
    <row r="892" spans="1:34" x14ac:dyDescent="0.2">
      <c r="A892" s="347">
        <f t="shared" ca="1" si="383"/>
        <v>1E-4</v>
      </c>
      <c r="B892" s="304">
        <f t="shared" ca="1" si="384"/>
        <v>43.908900000000607</v>
      </c>
      <c r="D892" s="306">
        <f t="shared" ca="1" si="385"/>
        <v>-0.39507312335119177</v>
      </c>
      <c r="E892" s="307">
        <f t="shared" ca="1" si="386"/>
        <v>9.7554913555775613E-2</v>
      </c>
      <c r="F892" s="304">
        <f t="shared" ca="1" si="387"/>
        <v>0.406939472100386</v>
      </c>
      <c r="G892" s="306">
        <f t="shared" ca="1" si="388"/>
        <v>4.4454712528685736</v>
      </c>
      <c r="H892" s="307">
        <f t="shared" ca="1" si="389"/>
        <v>-111.48350904652889</v>
      </c>
      <c r="I892" s="304">
        <f t="shared" ca="1" si="390"/>
        <v>111.57210674710579</v>
      </c>
      <c r="J892" s="306">
        <f t="shared" ca="1" si="391"/>
        <v>928.20926186620727</v>
      </c>
      <c r="K892" s="307">
        <f t="shared" ca="1" si="392"/>
        <v>-6.5320852623054613</v>
      </c>
      <c r="L892" s="304">
        <f t="shared" ca="1" si="377"/>
        <v>928.23224569720878</v>
      </c>
      <c r="M892" s="306">
        <f t="shared" ca="1" si="393"/>
        <v>-1.5309418465853386</v>
      </c>
      <c r="N892" s="304">
        <f t="shared" ca="1" si="394"/>
        <v>-87.716506489304663</v>
      </c>
      <c r="P892" s="310">
        <f t="shared" ca="1" si="395"/>
        <v>23</v>
      </c>
      <c r="Q892" s="304">
        <f t="shared" ca="1" si="396"/>
        <v>0</v>
      </c>
      <c r="R892" s="306">
        <f t="shared" ca="1" si="397"/>
        <v>0</v>
      </c>
      <c r="S892" s="307">
        <f t="shared" ca="1" si="398"/>
        <v>4.9929999999999914</v>
      </c>
      <c r="T892" s="304">
        <f t="shared" ca="1" si="378"/>
        <v>48.981329999999922</v>
      </c>
      <c r="U892" s="311">
        <f t="shared" ca="1" si="379"/>
        <v>0</v>
      </c>
      <c r="V892" s="306">
        <f t="shared" ca="1" si="380"/>
        <v>1.2258004418723603</v>
      </c>
      <c r="W892" s="304">
        <f t="shared" ca="1" si="381"/>
        <v>49.507780854173753</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-0.11321884964781859</v>
      </c>
      <c r="AH892" s="304">
        <f t="shared" ca="1" si="405"/>
        <v>-9.9154287420120006</v>
      </c>
    </row>
    <row r="893" spans="1:34" x14ac:dyDescent="0.2">
      <c r="A893" s="347">
        <f t="shared" ca="1" si="383"/>
        <v>1E-4</v>
      </c>
      <c r="B893" s="304">
        <f t="shared" ca="1" si="384"/>
        <v>43.90900000000061</v>
      </c>
      <c r="D893" s="306">
        <f t="shared" ca="1" si="385"/>
        <v>-0.39507001267887104</v>
      </c>
      <c r="E893" s="307">
        <f t="shared" ca="1" si="386"/>
        <v>9.7564086501883196E-2</v>
      </c>
      <c r="F893" s="304">
        <f t="shared" ca="1" si="387"/>
        <v>0.40693865126457363</v>
      </c>
      <c r="G893" s="306">
        <f t="shared" ca="1" si="388"/>
        <v>4.4454317458673058</v>
      </c>
      <c r="H893" s="307">
        <f t="shared" ca="1" si="389"/>
        <v>-111.48349929012025</v>
      </c>
      <c r="I893" s="304">
        <f t="shared" ca="1" si="390"/>
        <v>111.57209542433719</v>
      </c>
      <c r="J893" s="306">
        <f t="shared" ca="1" si="391"/>
        <v>928.20926186620727</v>
      </c>
      <c r="K893" s="307">
        <f t="shared" ca="1" si="392"/>
        <v>-6.5432336127222941</v>
      </c>
      <c r="L893" s="304">
        <f t="shared" ca="1" si="377"/>
        <v>928.23232421647549</v>
      </c>
      <c r="M893" s="306">
        <f t="shared" ca="1" si="393"/>
        <v>-1.5309421969139361</v>
      </c>
      <c r="N893" s="304">
        <f t="shared" ca="1" si="394"/>
        <v>-87.716526561654746</v>
      </c>
      <c r="P893" s="310">
        <f t="shared" ca="1" si="395"/>
        <v>23</v>
      </c>
      <c r="Q893" s="304">
        <f t="shared" ca="1" si="396"/>
        <v>0</v>
      </c>
      <c r="R893" s="306">
        <f t="shared" ca="1" si="397"/>
        <v>0</v>
      </c>
      <c r="S893" s="307">
        <f t="shared" ca="1" si="398"/>
        <v>4.9929999999999914</v>
      </c>
      <c r="T893" s="304">
        <f t="shared" ca="1" si="378"/>
        <v>48.981329999999922</v>
      </c>
      <c r="U893" s="311">
        <f t="shared" ca="1" si="379"/>
        <v>0</v>
      </c>
      <c r="V893" s="306">
        <f t="shared" ca="1" si="380"/>
        <v>1.2258018084385549</v>
      </c>
      <c r="W893" s="304">
        <f t="shared" ca="1" si="381"/>
        <v>49.507825998726787</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-0.11322775443344568</v>
      </c>
      <c r="AH893" s="304">
        <f t="shared" ca="1" si="405"/>
        <v>-9.915437783731992</v>
      </c>
    </row>
    <row r="894" spans="1:34" x14ac:dyDescent="0.2">
      <c r="A894" s="347">
        <f t="shared" ca="1" si="383"/>
        <v>1E-4</v>
      </c>
      <c r="B894" s="304">
        <f t="shared" ca="1" si="384"/>
        <v>43.909100000000613</v>
      </c>
      <c r="D894" s="306">
        <f t="shared" ca="1" si="385"/>
        <v>-0.39506690202428896</v>
      </c>
      <c r="E894" s="307">
        <f t="shared" ca="1" si="386"/>
        <v>9.7573259294758685E-2</v>
      </c>
      <c r="F894" s="304">
        <f t="shared" ca="1" si="387"/>
        <v>0.40693783063813488</v>
      </c>
      <c r="G894" s="306">
        <f t="shared" ca="1" si="388"/>
        <v>4.445392239177103</v>
      </c>
      <c r="H894" s="307">
        <f t="shared" ca="1" si="389"/>
        <v>-111.48348953279432</v>
      </c>
      <c r="I894" s="304">
        <f t="shared" ca="1" si="390"/>
        <v>111.57208410067815</v>
      </c>
      <c r="J894" s="306">
        <f t="shared" ca="1" si="391"/>
        <v>928.20926186620727</v>
      </c>
      <c r="K894" s="307">
        <f t="shared" ca="1" si="392"/>
        <v>-6.5543819621634398</v>
      </c>
      <c r="L894" s="304">
        <f t="shared" ca="1" si="377"/>
        <v>928.23240286962357</v>
      </c>
      <c r="M894" s="306">
        <f t="shared" ca="1" si="393"/>
        <v>-1.5309425472394911</v>
      </c>
      <c r="N894" s="304">
        <f t="shared" ca="1" si="394"/>
        <v>-87.716546633830504</v>
      </c>
      <c r="P894" s="310">
        <f t="shared" ca="1" si="395"/>
        <v>23</v>
      </c>
      <c r="Q894" s="304">
        <f t="shared" ca="1" si="396"/>
        <v>0</v>
      </c>
      <c r="R894" s="306">
        <f t="shared" ca="1" si="397"/>
        <v>0</v>
      </c>
      <c r="S894" s="307">
        <f t="shared" ca="1" si="398"/>
        <v>4.9929999999999914</v>
      </c>
      <c r="T894" s="304">
        <f t="shared" ca="1" si="378"/>
        <v>48.981329999999922</v>
      </c>
      <c r="U894" s="311">
        <f t="shared" ca="1" si="379"/>
        <v>0</v>
      </c>
      <c r="V894" s="306">
        <f t="shared" ca="1" si="380"/>
        <v>1.2258031750061538</v>
      </c>
      <c r="W894" s="304">
        <f t="shared" ca="1" si="381"/>
        <v>49.507871142524927</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-0.11323665907027625</v>
      </c>
      <c r="AH894" s="304">
        <f t="shared" ca="1" si="405"/>
        <v>-9.9154468253007959</v>
      </c>
    </row>
    <row r="895" spans="1:34" x14ac:dyDescent="0.2">
      <c r="A895" s="347">
        <f t="shared" ca="1" si="383"/>
        <v>1E-4</v>
      </c>
      <c r="B895" s="304">
        <f t="shared" ca="1" si="384"/>
        <v>43.909200000000617</v>
      </c>
      <c r="D895" s="306">
        <f t="shared" ca="1" si="385"/>
        <v>-0.39506379138744779</v>
      </c>
      <c r="E895" s="307">
        <f t="shared" ca="1" si="386"/>
        <v>9.7582431934396752E-2</v>
      </c>
      <c r="F895" s="304">
        <f t="shared" ca="1" si="387"/>
        <v>0.40693701022106121</v>
      </c>
      <c r="G895" s="306">
        <f t="shared" ca="1" si="388"/>
        <v>4.4453527327979643</v>
      </c>
      <c r="H895" s="307">
        <f t="shared" ca="1" si="389"/>
        <v>-111.48347977455113</v>
      </c>
      <c r="I895" s="304">
        <f t="shared" ca="1" si="390"/>
        <v>111.57207277612864</v>
      </c>
      <c r="J895" s="306">
        <f t="shared" ca="1" si="391"/>
        <v>928.20926186620727</v>
      </c>
      <c r="K895" s="307">
        <f t="shared" ca="1" si="392"/>
        <v>-6.565530310628807</v>
      </c>
      <c r="L895" s="304">
        <f t="shared" ca="1" si="377"/>
        <v>928.23248165665325</v>
      </c>
      <c r="M895" s="306">
        <f t="shared" ca="1" si="393"/>
        <v>-1.5309428975620039</v>
      </c>
      <c r="N895" s="304">
        <f t="shared" ca="1" si="394"/>
        <v>-87.716566705831951</v>
      </c>
      <c r="P895" s="310">
        <f t="shared" ca="1" si="395"/>
        <v>23</v>
      </c>
      <c r="Q895" s="304">
        <f t="shared" ca="1" si="396"/>
        <v>0</v>
      </c>
      <c r="R895" s="306">
        <f t="shared" ca="1" si="397"/>
        <v>0</v>
      </c>
      <c r="S895" s="307">
        <f t="shared" ca="1" si="398"/>
        <v>4.9929999999999914</v>
      </c>
      <c r="T895" s="304">
        <f t="shared" ca="1" si="378"/>
        <v>48.981329999999922</v>
      </c>
      <c r="U895" s="311">
        <f t="shared" ca="1" si="379"/>
        <v>0</v>
      </c>
      <c r="V895" s="306">
        <f t="shared" ca="1" si="380"/>
        <v>1.2258045415751571</v>
      </c>
      <c r="W895" s="304">
        <f t="shared" ca="1" si="381"/>
        <v>49.507916285568122</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-0.11324556355831028</v>
      </c>
      <c r="AH895" s="304">
        <f t="shared" ca="1" si="405"/>
        <v>-9.9154558667184087</v>
      </c>
    </row>
    <row r="896" spans="1:34" x14ac:dyDescent="0.2">
      <c r="A896" s="347">
        <f t="shared" ca="1" si="383"/>
        <v>1E-4</v>
      </c>
      <c r="B896" s="304">
        <f t="shared" ca="1" si="384"/>
        <v>43.90930000000062</v>
      </c>
      <c r="D896" s="306">
        <f t="shared" ca="1" si="385"/>
        <v>-0.39506068076834527</v>
      </c>
      <c r="E896" s="307">
        <f t="shared" ca="1" si="386"/>
        <v>9.7591604420786737E-2</v>
      </c>
      <c r="F896" s="304">
        <f t="shared" ca="1" si="387"/>
        <v>0.40693619001333825</v>
      </c>
      <c r="G896" s="306">
        <f t="shared" ca="1" si="388"/>
        <v>4.4453132267298878</v>
      </c>
      <c r="H896" s="307">
        <f t="shared" ca="1" si="389"/>
        <v>-111.48347001539068</v>
      </c>
      <c r="I896" s="304">
        <f t="shared" ca="1" si="390"/>
        <v>111.57206145068869</v>
      </c>
      <c r="J896" s="306">
        <f t="shared" ca="1" si="391"/>
        <v>928.20926186620727</v>
      </c>
      <c r="K896" s="307">
        <f t="shared" ca="1" si="392"/>
        <v>-6.5766786581183041</v>
      </c>
      <c r="L896" s="304">
        <f t="shared" ca="1" si="377"/>
        <v>928.23256057756419</v>
      </c>
      <c r="M896" s="306">
        <f t="shared" ca="1" si="393"/>
        <v>-1.5309432478814746</v>
      </c>
      <c r="N896" s="304">
        <f t="shared" ca="1" si="394"/>
        <v>-87.716586777659103</v>
      </c>
      <c r="P896" s="310">
        <f t="shared" ca="1" si="395"/>
        <v>23</v>
      </c>
      <c r="Q896" s="304">
        <f t="shared" ca="1" si="396"/>
        <v>0</v>
      </c>
      <c r="R896" s="306">
        <f t="shared" ca="1" si="397"/>
        <v>0</v>
      </c>
      <c r="S896" s="307">
        <f t="shared" ca="1" si="398"/>
        <v>4.9929999999999914</v>
      </c>
      <c r="T896" s="304">
        <f t="shared" ca="1" si="378"/>
        <v>48.981329999999922</v>
      </c>
      <c r="U896" s="311">
        <f t="shared" ca="1" si="379"/>
        <v>0</v>
      </c>
      <c r="V896" s="306">
        <f t="shared" ca="1" si="380"/>
        <v>1.2258059081455648</v>
      </c>
      <c r="W896" s="304">
        <f t="shared" ca="1" si="381"/>
        <v>49.507961427856443</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-0.11325446789753357</v>
      </c>
      <c r="AH896" s="304">
        <f t="shared" ca="1" si="405"/>
        <v>-9.9154649079848198</v>
      </c>
    </row>
    <row r="897" spans="1:34" x14ac:dyDescent="0.2">
      <c r="A897" s="347">
        <f t="shared" ca="1" si="383"/>
        <v>1E-4</v>
      </c>
      <c r="B897" s="304">
        <f t="shared" ca="1" si="384"/>
        <v>43.909400000000623</v>
      </c>
      <c r="D897" s="306">
        <f t="shared" ca="1" si="385"/>
        <v>-0.39505757016697995</v>
      </c>
      <c r="E897" s="307">
        <f t="shared" ca="1" si="386"/>
        <v>9.7600776753946406E-2</v>
      </c>
      <c r="F897" s="304">
        <f t="shared" ca="1" si="387"/>
        <v>0.4069353700149595</v>
      </c>
      <c r="G897" s="306">
        <f t="shared" ca="1" si="388"/>
        <v>4.445273720972871</v>
      </c>
      <c r="H897" s="307">
        <f t="shared" ca="1" si="389"/>
        <v>-111.48346025531301</v>
      </c>
      <c r="I897" s="304">
        <f t="shared" ca="1" si="390"/>
        <v>111.57205012435833</v>
      </c>
      <c r="J897" s="306">
        <f t="shared" ca="1" si="391"/>
        <v>928.20926186620727</v>
      </c>
      <c r="K897" s="307">
        <f t="shared" ca="1" si="392"/>
        <v>-6.5878270046318397</v>
      </c>
      <c r="L897" s="304">
        <f t="shared" ca="1" si="377"/>
        <v>928.23263963235649</v>
      </c>
      <c r="M897" s="306">
        <f t="shared" ca="1" si="393"/>
        <v>-1.5309435981979032</v>
      </c>
      <c r="N897" s="304">
        <f t="shared" ca="1" si="394"/>
        <v>-87.716606849311958</v>
      </c>
      <c r="P897" s="310">
        <f t="shared" ca="1" si="395"/>
        <v>23</v>
      </c>
      <c r="Q897" s="304">
        <f t="shared" ca="1" si="396"/>
        <v>0</v>
      </c>
      <c r="R897" s="306">
        <f t="shared" ca="1" si="397"/>
        <v>0</v>
      </c>
      <c r="S897" s="307">
        <f t="shared" ca="1" si="398"/>
        <v>4.9929999999999914</v>
      </c>
      <c r="T897" s="304">
        <f t="shared" ca="1" si="378"/>
        <v>48.981329999999922</v>
      </c>
      <c r="U897" s="311">
        <f t="shared" ca="1" si="379"/>
        <v>0</v>
      </c>
      <c r="V897" s="306">
        <f t="shared" ca="1" si="380"/>
        <v>1.2258072747173765</v>
      </c>
      <c r="W897" s="304">
        <f t="shared" ca="1" si="381"/>
        <v>49.508006569389842</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-0.11326337208796211</v>
      </c>
      <c r="AH897" s="304">
        <f t="shared" ca="1" si="405"/>
        <v>-9.9154739491000452</v>
      </c>
    </row>
    <row r="898" spans="1:34" x14ac:dyDescent="0.2">
      <c r="A898" s="347">
        <f t="shared" ca="1" si="383"/>
        <v>1E-4</v>
      </c>
      <c r="B898" s="304">
        <f t="shared" ca="1" si="384"/>
        <v>43.909500000000627</v>
      </c>
      <c r="D898" s="306">
        <f t="shared" ca="1" si="385"/>
        <v>-0.39505445958335378</v>
      </c>
      <c r="E898" s="307">
        <f t="shared" ca="1" si="386"/>
        <v>9.7609948933863322E-2</v>
      </c>
      <c r="F898" s="304">
        <f t="shared" ca="1" si="387"/>
        <v>0.40693455022591424</v>
      </c>
      <c r="G898" s="306">
        <f t="shared" ca="1" si="388"/>
        <v>4.4452342155269129</v>
      </c>
      <c r="H898" s="307">
        <f t="shared" ca="1" si="389"/>
        <v>-111.48345049431811</v>
      </c>
      <c r="I898" s="304">
        <f t="shared" ca="1" si="390"/>
        <v>111.57203879713755</v>
      </c>
      <c r="J898" s="306">
        <f t="shared" ca="1" si="391"/>
        <v>928.20926186620727</v>
      </c>
      <c r="K898" s="307">
        <f t="shared" ca="1" si="392"/>
        <v>-6.5989753501693214</v>
      </c>
      <c r="L898" s="304">
        <f t="shared" ca="1" si="377"/>
        <v>928.23271882103006</v>
      </c>
      <c r="M898" s="306">
        <f t="shared" ca="1" si="393"/>
        <v>-1.5309439485112895</v>
      </c>
      <c r="N898" s="304">
        <f t="shared" ca="1" si="394"/>
        <v>-87.716626920790503</v>
      </c>
      <c r="P898" s="310">
        <f t="shared" ca="1" si="395"/>
        <v>23</v>
      </c>
      <c r="Q898" s="304">
        <f t="shared" ca="1" si="396"/>
        <v>0</v>
      </c>
      <c r="R898" s="306">
        <f t="shared" ca="1" si="397"/>
        <v>0</v>
      </c>
      <c r="S898" s="307">
        <f t="shared" ca="1" si="398"/>
        <v>4.9929999999999914</v>
      </c>
      <c r="T898" s="304">
        <f t="shared" ca="1" si="378"/>
        <v>48.981329999999922</v>
      </c>
      <c r="U898" s="311">
        <f t="shared" ca="1" si="379"/>
        <v>0</v>
      </c>
      <c r="V898" s="306">
        <f t="shared" ca="1" si="380"/>
        <v>1.2258086412905931</v>
      </c>
      <c r="W898" s="304">
        <f t="shared" ca="1" si="381"/>
        <v>49.508051710168402</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-0.11327227612958879</v>
      </c>
      <c r="AH898" s="304">
        <f t="shared" ca="1" si="405"/>
        <v>-9.9154829900640742</v>
      </c>
    </row>
    <row r="899" spans="1:34" x14ac:dyDescent="0.2">
      <c r="A899" s="347">
        <f t="shared" ca="1" si="383"/>
        <v>1E-4</v>
      </c>
      <c r="B899" s="304">
        <f t="shared" ca="1" si="384"/>
        <v>43.90960000000063</v>
      </c>
      <c r="D899" s="306">
        <f t="shared" ca="1" si="385"/>
        <v>-0.39505134901746797</v>
      </c>
      <c r="E899" s="307">
        <f t="shared" ca="1" si="386"/>
        <v>9.7619120960558803E-2</v>
      </c>
      <c r="F899" s="304">
        <f t="shared" ca="1" si="387"/>
        <v>0.40693373064619931</v>
      </c>
      <c r="G899" s="306">
        <f t="shared" ca="1" si="388"/>
        <v>4.4451947103920109</v>
      </c>
      <c r="H899" s="307">
        <f t="shared" ca="1" si="389"/>
        <v>-111.48344073240601</v>
      </c>
      <c r="I899" s="304">
        <f t="shared" ca="1" si="390"/>
        <v>111.57202746902639</v>
      </c>
      <c r="J899" s="306">
        <f t="shared" ca="1" si="391"/>
        <v>928.20926186620727</v>
      </c>
      <c r="K899" s="307">
        <f t="shared" ca="1" si="392"/>
        <v>-6.6101236947306576</v>
      </c>
      <c r="L899" s="304">
        <f t="shared" ca="1" si="377"/>
        <v>928.23279814358466</v>
      </c>
      <c r="M899" s="306">
        <f t="shared" ca="1" si="393"/>
        <v>-1.5309442988216335</v>
      </c>
      <c r="N899" s="304">
        <f t="shared" ca="1" si="394"/>
        <v>-87.716646992094738</v>
      </c>
      <c r="P899" s="310">
        <f t="shared" ca="1" si="395"/>
        <v>23</v>
      </c>
      <c r="Q899" s="304">
        <f t="shared" ca="1" si="396"/>
        <v>0</v>
      </c>
      <c r="R899" s="306">
        <f t="shared" ca="1" si="397"/>
        <v>0</v>
      </c>
      <c r="S899" s="307">
        <f t="shared" ca="1" si="398"/>
        <v>4.9929999999999914</v>
      </c>
      <c r="T899" s="304">
        <f t="shared" ca="1" si="378"/>
        <v>48.981329999999922</v>
      </c>
      <c r="U899" s="311">
        <f t="shared" ca="1" si="379"/>
        <v>0</v>
      </c>
      <c r="V899" s="306">
        <f t="shared" ca="1" si="380"/>
        <v>1.2258100078652141</v>
      </c>
      <c r="W899" s="304">
        <f t="shared" ca="1" si="381"/>
        <v>49.508096850192096</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-0.11328118002242782</v>
      </c>
      <c r="AH899" s="304">
        <f t="shared" ca="1" si="405"/>
        <v>-9.9154920308769245</v>
      </c>
    </row>
    <row r="900" spans="1:34" x14ac:dyDescent="0.2">
      <c r="A900" s="347">
        <f t="shared" ca="1" si="383"/>
        <v>1E-4</v>
      </c>
      <c r="B900" s="304">
        <f t="shared" ca="1" si="384"/>
        <v>43.909700000000633</v>
      </c>
      <c r="D900" s="306">
        <f t="shared" ca="1" si="385"/>
        <v>-0.3950482384693223</v>
      </c>
      <c r="E900" s="307">
        <f t="shared" ca="1" si="386"/>
        <v>9.7628292834023966E-2</v>
      </c>
      <c r="F900" s="304">
        <f t="shared" ca="1" si="387"/>
        <v>0.40693291127580289</v>
      </c>
      <c r="G900" s="306">
        <f t="shared" ca="1" si="388"/>
        <v>4.445155205568164</v>
      </c>
      <c r="H900" s="307">
        <f t="shared" ca="1" si="389"/>
        <v>-111.48343096957673</v>
      </c>
      <c r="I900" s="304">
        <f t="shared" ca="1" si="390"/>
        <v>111.57201614002486</v>
      </c>
      <c r="J900" s="306">
        <f t="shared" ca="1" si="391"/>
        <v>928.20926186620727</v>
      </c>
      <c r="K900" s="307">
        <f t="shared" ca="1" si="392"/>
        <v>-6.6212720383157571</v>
      </c>
      <c r="L900" s="304">
        <f t="shared" ref="L900:L963" ca="1" si="406">SQRT(pos_x^2+pos_z^2)</f>
        <v>928.23287760002052</v>
      </c>
      <c r="M900" s="306">
        <f t="shared" ca="1" si="393"/>
        <v>-1.5309446491289356</v>
      </c>
      <c r="N900" s="304">
        <f t="shared" ca="1" si="394"/>
        <v>-87.716667063224676</v>
      </c>
      <c r="P900" s="310">
        <f t="shared" ca="1" si="395"/>
        <v>23</v>
      </c>
      <c r="Q900" s="304">
        <f t="shared" ca="1" si="396"/>
        <v>0</v>
      </c>
      <c r="R900" s="306">
        <f t="shared" ca="1" si="397"/>
        <v>0</v>
      </c>
      <c r="S900" s="307">
        <f t="shared" ca="1" si="398"/>
        <v>4.9929999999999914</v>
      </c>
      <c r="T900" s="304">
        <f t="shared" ref="T900:T963" ca="1" si="407">m*g</f>
        <v>48.981329999999922</v>
      </c>
      <c r="U900" s="311">
        <f t="shared" ref="U900:U963" ca="1" si="408">IF(pos_xz&lt;L_rampe,Poids*COS(Beta),0)</f>
        <v>0</v>
      </c>
      <c r="V900" s="306">
        <f t="shared" ref="V900:V963" ca="1" si="409">Rho_moyen*(20000-Alt_rampe-pos_z)/(20000+Alt_rampe+pos_z)</f>
        <v>1.2258113744412387</v>
      </c>
      <c r="W900" s="304">
        <f t="shared" ref="W900:W963" ca="1" si="410">1/2*Rho*Sref*Cx*vit_xz^2</f>
        <v>49.508141989460917</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-0.11329008376647209</v>
      </c>
      <c r="AH900" s="304">
        <f t="shared" ca="1" si="405"/>
        <v>-9.9155010715385909</v>
      </c>
    </row>
    <row r="901" spans="1:34" x14ac:dyDescent="0.2">
      <c r="A901" s="347">
        <f t="shared" ref="A901:A964" ca="1" si="412">IF(B900+0.01&lt;=T_ini+ROUNDUP(Temps_fin_propu,0), 0.01, IF(K900&gt;0, 0.1, 0.0001))</f>
        <v>1E-4</v>
      </c>
      <c r="B901" s="304">
        <f t="shared" ref="B901:B964" ca="1" si="413">B900+pas</f>
        <v>43.909800000000637</v>
      </c>
      <c r="D901" s="306">
        <f t="shared" ref="D901:D964" ca="1" si="414">IF(AND(L900&lt;L_rampe,Poussee&lt;Poids*SIN(M900)),0,(-W900+Poussee)/m*COS(M900)-U900/m*SIN(M900))</f>
        <v>-0.39504512793891478</v>
      </c>
      <c r="E901" s="307">
        <f t="shared" ref="E901:E964" ca="1" si="415">IF(AND(L900&lt;L_rampe,Poussee&lt;Poids*SIN(M900)),0,(-W900+Poussee)/m*SIN(M900)+U900/m*COS(M900)-Poids/m)</f>
        <v>9.763746455425526E-2</v>
      </c>
      <c r="F901" s="304">
        <f t="shared" ref="F901:F964" ca="1" si="416">SQRT(acc_x^2+acc_z^2)</f>
        <v>0.40693209211471271</v>
      </c>
      <c r="G901" s="306">
        <f t="shared" ref="G901:G964" ca="1" si="417">G900+acc_x*pas</f>
        <v>4.4451157010553697</v>
      </c>
      <c r="H901" s="307">
        <f t="shared" ref="H901:H964" ca="1" si="418">H900+acc_z*pas</f>
        <v>-111.48342120583027</v>
      </c>
      <c r="I901" s="304">
        <f t="shared" ref="I901:I964" ca="1" si="419">SQRT(vit_x^2+vit_z^2)</f>
        <v>111.57200481013298</v>
      </c>
      <c r="J901" s="306">
        <f t="shared" ref="J901:J964" ca="1" si="420">J900+0.5*(vit_x+G900)*pas*(K900&gt;=0)</f>
        <v>928.20926186620727</v>
      </c>
      <c r="K901" s="307">
        <f t="shared" ref="K901:K964" ca="1" si="421">K900+0.5*(vit_z+H900)*pas</f>
        <v>-6.6324203809245272</v>
      </c>
      <c r="L901" s="304">
        <f t="shared" ca="1" si="406"/>
        <v>928.23295719033729</v>
      </c>
      <c r="M901" s="306">
        <f t="shared" ref="M901:M964" ca="1" si="422">IF(AND(L900&gt;L_rampe,G901&gt;0),ATAN2(G901,H901),$M$4)</f>
        <v>-1.5309449994331956</v>
      </c>
      <c r="N901" s="304">
        <f t="shared" ref="N901:N964" ca="1" si="423">DEGREES(Beta)</f>
        <v>-87.716687134180319</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4.9929999999999914</v>
      </c>
      <c r="T901" s="304">
        <f t="shared" ca="1" si="407"/>
        <v>48.981329999999922</v>
      </c>
      <c r="U901" s="311">
        <f t="shared" ca="1" si="408"/>
        <v>0</v>
      </c>
      <c r="V901" s="306">
        <f t="shared" ca="1" si="409"/>
        <v>1.2258127410186681</v>
      </c>
      <c r="W901" s="304">
        <f t="shared" ca="1" si="410"/>
        <v>49.508187127974935</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-0.11329898736172339</v>
      </c>
      <c r="AH901" s="304">
        <f t="shared" ref="AH901:AH964" ca="1" si="434">IF(AND(L900&lt;L_rampe,Poussee&lt;Poids*SIN(M900)), g*SIN(M900), (-W900+Poussee)/m)</f>
        <v>-9.9155101120490698</v>
      </c>
    </row>
    <row r="902" spans="1:34" x14ac:dyDescent="0.2">
      <c r="A902" s="347">
        <f t="shared" ca="1" si="412"/>
        <v>1E-4</v>
      </c>
      <c r="B902" s="304">
        <f t="shared" ca="1" si="413"/>
        <v>43.90990000000064</v>
      </c>
      <c r="D902" s="306">
        <f t="shared" ca="1" si="414"/>
        <v>-0.39504201742624623</v>
      </c>
      <c r="E902" s="307">
        <f t="shared" ca="1" si="415"/>
        <v>9.7646636121268671E-2</v>
      </c>
      <c r="F902" s="304">
        <f t="shared" ca="1" si="416"/>
        <v>0.40693127316292377</v>
      </c>
      <c r="G902" s="306">
        <f t="shared" ca="1" si="417"/>
        <v>4.445076196853627</v>
      </c>
      <c r="H902" s="307">
        <f t="shared" ca="1" si="418"/>
        <v>-111.48341144116665</v>
      </c>
      <c r="I902" s="304">
        <f t="shared" ca="1" si="419"/>
        <v>111.57199347935074</v>
      </c>
      <c r="J902" s="306">
        <f t="shared" ca="1" si="420"/>
        <v>928.20926186620727</v>
      </c>
      <c r="K902" s="307">
        <f t="shared" ca="1" si="421"/>
        <v>-6.6435687225568767</v>
      </c>
      <c r="L902" s="304">
        <f t="shared" ca="1" si="406"/>
        <v>928.23303691453509</v>
      </c>
      <c r="M902" s="306">
        <f t="shared" ca="1" si="422"/>
        <v>-1.5309453497344137</v>
      </c>
      <c r="N902" s="304">
        <f t="shared" ca="1" si="423"/>
        <v>-87.716707204961665</v>
      </c>
      <c r="P902" s="310">
        <f t="shared" ca="1" si="424"/>
        <v>23</v>
      </c>
      <c r="Q902" s="304">
        <f t="shared" ca="1" si="425"/>
        <v>0</v>
      </c>
      <c r="R902" s="306">
        <f t="shared" ca="1" si="426"/>
        <v>0</v>
      </c>
      <c r="S902" s="307">
        <f t="shared" ca="1" si="427"/>
        <v>4.9929999999999914</v>
      </c>
      <c r="T902" s="304">
        <f t="shared" ca="1" si="407"/>
        <v>48.981329999999922</v>
      </c>
      <c r="U902" s="311">
        <f t="shared" ca="1" si="408"/>
        <v>0</v>
      </c>
      <c r="V902" s="306">
        <f t="shared" ca="1" si="409"/>
        <v>1.225814107597502</v>
      </c>
      <c r="W902" s="304">
        <f t="shared" ca="1" si="410"/>
        <v>49.508232265734094</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-0.11330789080819414</v>
      </c>
      <c r="AH902" s="304">
        <f t="shared" ca="1" si="434"/>
        <v>-9.9155191524083754</v>
      </c>
    </row>
    <row r="903" spans="1:34" x14ac:dyDescent="0.2">
      <c r="A903" s="347">
        <f t="shared" ca="1" si="412"/>
        <v>1E-4</v>
      </c>
      <c r="B903" s="304">
        <f t="shared" ca="1" si="413"/>
        <v>43.910000000000643</v>
      </c>
      <c r="D903" s="306">
        <f t="shared" ca="1" si="414"/>
        <v>-0.39503890693131649</v>
      </c>
      <c r="E903" s="307">
        <f t="shared" ca="1" si="415"/>
        <v>9.7655807535055317E-2</v>
      </c>
      <c r="F903" s="304">
        <f t="shared" ca="1" si="416"/>
        <v>0.40693045442042441</v>
      </c>
      <c r="G903" s="306">
        <f t="shared" ca="1" si="417"/>
        <v>4.4450366929629341</v>
      </c>
      <c r="H903" s="307">
        <f t="shared" ca="1" si="418"/>
        <v>-111.4834016755859</v>
      </c>
      <c r="I903" s="304">
        <f t="shared" ca="1" si="419"/>
        <v>111.57198214767816</v>
      </c>
      <c r="J903" s="306">
        <f t="shared" ca="1" si="420"/>
        <v>928.20926186620727</v>
      </c>
      <c r="K903" s="307">
        <f t="shared" ca="1" si="421"/>
        <v>-6.6547170632127139</v>
      </c>
      <c r="L903" s="304">
        <f t="shared" ca="1" si="406"/>
        <v>928.2331167726137</v>
      </c>
      <c r="M903" s="306">
        <f t="shared" ca="1" si="422"/>
        <v>-1.5309457000325897</v>
      </c>
      <c r="N903" s="304">
        <f t="shared" ca="1" si="423"/>
        <v>-87.716727275568729</v>
      </c>
      <c r="P903" s="310">
        <f t="shared" ca="1" si="424"/>
        <v>23</v>
      </c>
      <c r="Q903" s="304">
        <f t="shared" ca="1" si="425"/>
        <v>0</v>
      </c>
      <c r="R903" s="306">
        <f t="shared" ca="1" si="426"/>
        <v>0</v>
      </c>
      <c r="S903" s="307">
        <f t="shared" ca="1" si="427"/>
        <v>4.9929999999999914</v>
      </c>
      <c r="T903" s="304">
        <f t="shared" ca="1" si="407"/>
        <v>48.981329999999922</v>
      </c>
      <c r="U903" s="311">
        <f t="shared" ca="1" si="408"/>
        <v>0</v>
      </c>
      <c r="V903" s="306">
        <f t="shared" ca="1" si="409"/>
        <v>1.2258154741777396</v>
      </c>
      <c r="W903" s="304">
        <f t="shared" ca="1" si="410"/>
        <v>49.508277402738408</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-0.11331679410587192</v>
      </c>
      <c r="AH903" s="304">
        <f t="shared" ca="1" si="434"/>
        <v>-9.9155281926164989</v>
      </c>
    </row>
    <row r="904" spans="1:34" x14ac:dyDescent="0.2">
      <c r="A904" s="347">
        <f t="shared" ca="1" si="412"/>
        <v>1E-4</v>
      </c>
      <c r="B904" s="304">
        <f t="shared" ca="1" si="413"/>
        <v>43.910100000000647</v>
      </c>
      <c r="D904" s="306">
        <f t="shared" ca="1" si="414"/>
        <v>-0.3950357964541259</v>
      </c>
      <c r="E904" s="307">
        <f t="shared" ca="1" si="415"/>
        <v>9.7664978795616975E-2</v>
      </c>
      <c r="F904" s="304">
        <f t="shared" ca="1" si="416"/>
        <v>0.40692963588720582</v>
      </c>
      <c r="G904" s="306">
        <f t="shared" ca="1" si="417"/>
        <v>4.4449971893832885</v>
      </c>
      <c r="H904" s="307">
        <f t="shared" ca="1" si="418"/>
        <v>-111.48339190908801</v>
      </c>
      <c r="I904" s="304">
        <f t="shared" ca="1" si="419"/>
        <v>111.57197081511528</v>
      </c>
      <c r="J904" s="306">
        <f t="shared" ca="1" si="420"/>
        <v>928.20926186620727</v>
      </c>
      <c r="K904" s="307">
        <f t="shared" ca="1" si="421"/>
        <v>-6.6658654028919475</v>
      </c>
      <c r="L904" s="304">
        <f t="shared" ca="1" si="406"/>
        <v>928.23319676457311</v>
      </c>
      <c r="M904" s="306">
        <f t="shared" ca="1" si="422"/>
        <v>-1.5309460503277237</v>
      </c>
      <c r="N904" s="304">
        <f t="shared" ca="1" si="423"/>
        <v>-87.716747346001483</v>
      </c>
      <c r="P904" s="310">
        <f t="shared" ca="1" si="424"/>
        <v>23</v>
      </c>
      <c r="Q904" s="304">
        <f t="shared" ca="1" si="425"/>
        <v>0</v>
      </c>
      <c r="R904" s="306">
        <f t="shared" ca="1" si="426"/>
        <v>0</v>
      </c>
      <c r="S904" s="307">
        <f t="shared" ca="1" si="427"/>
        <v>4.9929999999999914</v>
      </c>
      <c r="T904" s="304">
        <f t="shared" ca="1" si="407"/>
        <v>48.981329999999922</v>
      </c>
      <c r="U904" s="311">
        <f t="shared" ca="1" si="408"/>
        <v>0</v>
      </c>
      <c r="V904" s="306">
        <f t="shared" ca="1" si="409"/>
        <v>1.2258168407593821</v>
      </c>
      <c r="W904" s="304">
        <f t="shared" ca="1" si="410"/>
        <v>49.508322538987947</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-0.11332569725476382</v>
      </c>
      <c r="AH904" s="304">
        <f t="shared" ca="1" si="434"/>
        <v>-9.9155372326734419</v>
      </c>
    </row>
    <row r="905" spans="1:34" x14ac:dyDescent="0.2">
      <c r="A905" s="347">
        <f t="shared" ca="1" si="412"/>
        <v>1E-4</v>
      </c>
      <c r="B905" s="304">
        <f t="shared" ca="1" si="413"/>
        <v>43.91020000000065</v>
      </c>
      <c r="D905" s="306">
        <f t="shared" ca="1" si="414"/>
        <v>-0.39503268599467523</v>
      </c>
      <c r="E905" s="307">
        <f t="shared" ca="1" si="415"/>
        <v>9.7674149902964302E-2</v>
      </c>
      <c r="F905" s="304">
        <f t="shared" ca="1" si="416"/>
        <v>0.40692881756326182</v>
      </c>
      <c r="G905" s="306">
        <f t="shared" ca="1" si="417"/>
        <v>4.4449576861146891</v>
      </c>
      <c r="H905" s="307">
        <f t="shared" ca="1" si="418"/>
        <v>-111.48338214167302</v>
      </c>
      <c r="I905" s="304">
        <f t="shared" ca="1" si="419"/>
        <v>111.57195948166209</v>
      </c>
      <c r="J905" s="306">
        <f t="shared" ca="1" si="420"/>
        <v>928.20926186620727</v>
      </c>
      <c r="K905" s="307">
        <f t="shared" ca="1" si="421"/>
        <v>-6.6770137415944859</v>
      </c>
      <c r="L905" s="304">
        <f t="shared" ca="1" si="406"/>
        <v>928.23327689041332</v>
      </c>
      <c r="M905" s="306">
        <f t="shared" ca="1" si="422"/>
        <v>-1.5309464006198157</v>
      </c>
      <c r="N905" s="304">
        <f t="shared" ca="1" si="423"/>
        <v>-87.716767416259955</v>
      </c>
      <c r="P905" s="310">
        <f t="shared" ca="1" si="424"/>
        <v>23</v>
      </c>
      <c r="Q905" s="304">
        <f t="shared" ca="1" si="425"/>
        <v>0</v>
      </c>
      <c r="R905" s="306">
        <f t="shared" ca="1" si="426"/>
        <v>0</v>
      </c>
      <c r="S905" s="307">
        <f t="shared" ca="1" si="427"/>
        <v>4.9929999999999914</v>
      </c>
      <c r="T905" s="304">
        <f t="shared" ca="1" si="407"/>
        <v>48.981329999999922</v>
      </c>
      <c r="U905" s="311">
        <f t="shared" ca="1" si="408"/>
        <v>0</v>
      </c>
      <c r="V905" s="306">
        <f t="shared" ca="1" si="409"/>
        <v>1.2258182073424291</v>
      </c>
      <c r="W905" s="304">
        <f t="shared" ca="1" si="410"/>
        <v>49.508367674482692</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-0.11333460025487874</v>
      </c>
      <c r="AH905" s="304">
        <f t="shared" ca="1" si="434"/>
        <v>-9.9155462725792169</v>
      </c>
    </row>
    <row r="906" spans="1:34" x14ac:dyDescent="0.2">
      <c r="A906" s="347">
        <f t="shared" ca="1" si="412"/>
        <v>1E-4</v>
      </c>
      <c r="B906" s="304">
        <f t="shared" ca="1" si="413"/>
        <v>43.910300000000653</v>
      </c>
      <c r="D906" s="306">
        <f t="shared" ca="1" si="414"/>
        <v>-0.39502957555296458</v>
      </c>
      <c r="E906" s="307">
        <f t="shared" ca="1" si="415"/>
        <v>9.76833208570973E-2</v>
      </c>
      <c r="F906" s="304">
        <f t="shared" ca="1" si="416"/>
        <v>0.40692799944858299</v>
      </c>
      <c r="G906" s="306">
        <f t="shared" ca="1" si="417"/>
        <v>4.4449181831571334</v>
      </c>
      <c r="H906" s="307">
        <f t="shared" ca="1" si="418"/>
        <v>-111.48337237334093</v>
      </c>
      <c r="I906" s="304">
        <f t="shared" ca="1" si="419"/>
        <v>111.57194814731864</v>
      </c>
      <c r="J906" s="306">
        <f t="shared" ca="1" si="420"/>
        <v>928.20926186620727</v>
      </c>
      <c r="K906" s="307">
        <f t="shared" ca="1" si="421"/>
        <v>-6.6881620793202368</v>
      </c>
      <c r="L906" s="304">
        <f t="shared" ca="1" si="406"/>
        <v>928.23335715013422</v>
      </c>
      <c r="M906" s="306">
        <f t="shared" ca="1" si="422"/>
        <v>-1.5309467509088657</v>
      </c>
      <c r="N906" s="304">
        <f t="shared" ca="1" si="423"/>
        <v>-87.716787486344131</v>
      </c>
      <c r="P906" s="310">
        <f t="shared" ca="1" si="424"/>
        <v>23</v>
      </c>
      <c r="Q906" s="304">
        <f t="shared" ca="1" si="425"/>
        <v>0</v>
      </c>
      <c r="R906" s="306">
        <f t="shared" ca="1" si="426"/>
        <v>0</v>
      </c>
      <c r="S906" s="307">
        <f t="shared" ca="1" si="427"/>
        <v>4.9929999999999914</v>
      </c>
      <c r="T906" s="304">
        <f t="shared" ca="1" si="407"/>
        <v>48.981329999999922</v>
      </c>
      <c r="U906" s="311">
        <f t="shared" ca="1" si="408"/>
        <v>0</v>
      </c>
      <c r="V906" s="306">
        <f t="shared" ca="1" si="409"/>
        <v>1.2258195739268798</v>
      </c>
      <c r="W906" s="304">
        <f t="shared" ca="1" si="410"/>
        <v>49.508412809222627</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-0.11334350310621488</v>
      </c>
      <c r="AH906" s="304">
        <f t="shared" ca="1" si="434"/>
        <v>-9.9155553123338223</v>
      </c>
    </row>
    <row r="907" spans="1:34" x14ac:dyDescent="0.2">
      <c r="A907" s="347">
        <f t="shared" ca="1" si="412"/>
        <v>1E-4</v>
      </c>
      <c r="B907" s="304">
        <f t="shared" ca="1" si="413"/>
        <v>43.910400000000656</v>
      </c>
      <c r="D907" s="306">
        <f t="shared" ca="1" si="414"/>
        <v>-0.39502646512899409</v>
      </c>
      <c r="E907" s="307">
        <f t="shared" ca="1" si="415"/>
        <v>9.7692491658012415E-2</v>
      </c>
      <c r="F907" s="304">
        <f t="shared" ca="1" si="416"/>
        <v>0.40692718154315916</v>
      </c>
      <c r="G907" s="306">
        <f t="shared" ca="1" si="417"/>
        <v>4.4448786805106204</v>
      </c>
      <c r="H907" s="307">
        <f t="shared" ca="1" si="418"/>
        <v>-111.48336260409177</v>
      </c>
      <c r="I907" s="304">
        <f t="shared" ca="1" si="419"/>
        <v>111.5719368120849</v>
      </c>
      <c r="J907" s="306">
        <f t="shared" ca="1" si="420"/>
        <v>928.20926186620727</v>
      </c>
      <c r="K907" s="307">
        <f t="shared" ca="1" si="421"/>
        <v>-6.6993104160691086</v>
      </c>
      <c r="L907" s="304">
        <f t="shared" ca="1" si="406"/>
        <v>928.23343754373559</v>
      </c>
      <c r="M907" s="306">
        <f t="shared" ca="1" si="422"/>
        <v>-1.5309471011948741</v>
      </c>
      <c r="N907" s="304">
        <f t="shared" ca="1" si="423"/>
        <v>-87.716807556254039</v>
      </c>
      <c r="P907" s="310">
        <f t="shared" ca="1" si="424"/>
        <v>23</v>
      </c>
      <c r="Q907" s="304">
        <f t="shared" ca="1" si="425"/>
        <v>0</v>
      </c>
      <c r="R907" s="306">
        <f t="shared" ca="1" si="426"/>
        <v>0</v>
      </c>
      <c r="S907" s="307">
        <f t="shared" ca="1" si="427"/>
        <v>4.9929999999999914</v>
      </c>
      <c r="T907" s="304">
        <f t="shared" ca="1" si="407"/>
        <v>48.981329999999922</v>
      </c>
      <c r="U907" s="311">
        <f t="shared" ca="1" si="408"/>
        <v>0</v>
      </c>
      <c r="V907" s="306">
        <f t="shared" ca="1" si="409"/>
        <v>1.2258209405127347</v>
      </c>
      <c r="W907" s="304">
        <f t="shared" ca="1" si="410"/>
        <v>49.50845794320778</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-0.11335240580876871</v>
      </c>
      <c r="AH907" s="304">
        <f t="shared" ca="1" si="434"/>
        <v>-9.9155643519372543</v>
      </c>
    </row>
    <row r="908" spans="1:34" x14ac:dyDescent="0.2">
      <c r="A908" s="347">
        <f t="shared" ca="1" si="412"/>
        <v>1E-4</v>
      </c>
      <c r="B908" s="304">
        <f t="shared" ca="1" si="413"/>
        <v>43.91050000000066</v>
      </c>
      <c r="D908" s="306">
        <f t="shared" ca="1" si="414"/>
        <v>-0.39502335472275979</v>
      </c>
      <c r="E908" s="307">
        <f t="shared" ca="1" si="415"/>
        <v>9.7701662305713199E-2</v>
      </c>
      <c r="F908" s="304">
        <f t="shared" ca="1" si="416"/>
        <v>0.40692636384697778</v>
      </c>
      <c r="G908" s="306">
        <f t="shared" ca="1" si="417"/>
        <v>4.4448391781751484</v>
      </c>
      <c r="H908" s="307">
        <f t="shared" ca="1" si="418"/>
        <v>-111.48335283392554</v>
      </c>
      <c r="I908" s="304">
        <f t="shared" ca="1" si="419"/>
        <v>111.57192547596091</v>
      </c>
      <c r="J908" s="306">
        <f t="shared" ca="1" si="420"/>
        <v>928.20926186620727</v>
      </c>
      <c r="K908" s="307">
        <f t="shared" ca="1" si="421"/>
        <v>-6.710458751841009</v>
      </c>
      <c r="L908" s="304">
        <f t="shared" ca="1" si="406"/>
        <v>928.23351807121765</v>
      </c>
      <c r="M908" s="306">
        <f t="shared" ca="1" si="422"/>
        <v>-1.5309474514778403</v>
      </c>
      <c r="N908" s="304">
        <f t="shared" ca="1" si="423"/>
        <v>-87.716827625989637</v>
      </c>
      <c r="P908" s="310">
        <f t="shared" ca="1" si="424"/>
        <v>23</v>
      </c>
      <c r="Q908" s="304">
        <f t="shared" ca="1" si="425"/>
        <v>0</v>
      </c>
      <c r="R908" s="306">
        <f t="shared" ca="1" si="426"/>
        <v>0</v>
      </c>
      <c r="S908" s="307">
        <f t="shared" ca="1" si="427"/>
        <v>4.9929999999999914</v>
      </c>
      <c r="T908" s="304">
        <f t="shared" ca="1" si="407"/>
        <v>48.981329999999922</v>
      </c>
      <c r="U908" s="311">
        <f t="shared" ca="1" si="408"/>
        <v>0</v>
      </c>
      <c r="V908" s="306">
        <f t="shared" ca="1" si="409"/>
        <v>1.2258223070999943</v>
      </c>
      <c r="W908" s="304">
        <f t="shared" ca="1" si="410"/>
        <v>49.508503076438174</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-0.11336130836254554</v>
      </c>
      <c r="AH908" s="304">
        <f t="shared" ca="1" si="434"/>
        <v>-9.9155733913895183</v>
      </c>
    </row>
    <row r="909" spans="1:34" x14ac:dyDescent="0.2">
      <c r="A909" s="347">
        <f t="shared" ca="1" si="412"/>
        <v>1E-4</v>
      </c>
      <c r="B909" s="304">
        <f t="shared" ca="1" si="413"/>
        <v>43.910600000000663</v>
      </c>
      <c r="D909" s="306">
        <f t="shared" ca="1" si="414"/>
        <v>-0.3950202443342688</v>
      </c>
      <c r="E909" s="307">
        <f t="shared" ca="1" si="415"/>
        <v>9.7710832800206759E-2</v>
      </c>
      <c r="F909" s="304">
        <f t="shared" ca="1" si="416"/>
        <v>0.40692554636003792</v>
      </c>
      <c r="G909" s="306">
        <f t="shared" ca="1" si="417"/>
        <v>4.4447996761507147</v>
      </c>
      <c r="H909" s="307">
        <f t="shared" ca="1" si="418"/>
        <v>-111.48334306284225</v>
      </c>
      <c r="I909" s="304">
        <f t="shared" ca="1" si="419"/>
        <v>111.57191413894667</v>
      </c>
      <c r="J909" s="306">
        <f t="shared" ca="1" si="420"/>
        <v>928.20926186620727</v>
      </c>
      <c r="K909" s="307">
        <f t="shared" ca="1" si="421"/>
        <v>-6.7216070866358475</v>
      </c>
      <c r="L909" s="304">
        <f t="shared" ca="1" si="406"/>
        <v>928.23359873258005</v>
      </c>
      <c r="M909" s="306">
        <f t="shared" ca="1" si="422"/>
        <v>-1.5309478017577649</v>
      </c>
      <c r="N909" s="304">
        <f t="shared" ca="1" si="423"/>
        <v>-87.716847695550968</v>
      </c>
      <c r="P909" s="310">
        <f t="shared" ca="1" si="424"/>
        <v>23</v>
      </c>
      <c r="Q909" s="304">
        <f t="shared" ca="1" si="425"/>
        <v>0</v>
      </c>
      <c r="R909" s="306">
        <f t="shared" ca="1" si="426"/>
        <v>0</v>
      </c>
      <c r="S909" s="307">
        <f t="shared" ca="1" si="427"/>
        <v>4.9929999999999914</v>
      </c>
      <c r="T909" s="304">
        <f t="shared" ca="1" si="407"/>
        <v>48.981329999999922</v>
      </c>
      <c r="U909" s="311">
        <f t="shared" ca="1" si="408"/>
        <v>0</v>
      </c>
      <c r="V909" s="306">
        <f t="shared" ca="1" si="409"/>
        <v>1.2258236736886579</v>
      </c>
      <c r="W909" s="304">
        <f t="shared" ca="1" si="410"/>
        <v>49.508548208913794</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-0.11337021076755072</v>
      </c>
      <c r="AH909" s="304">
        <f t="shared" ca="1" si="434"/>
        <v>-9.915582430690618</v>
      </c>
    </row>
    <row r="910" spans="1:34" x14ac:dyDescent="0.2">
      <c r="A910" s="347">
        <f t="shared" ca="1" si="412"/>
        <v>1E-4</v>
      </c>
      <c r="B910" s="304">
        <f t="shared" ca="1" si="413"/>
        <v>43.910700000000666</v>
      </c>
      <c r="D910" s="306">
        <f t="shared" ca="1" si="414"/>
        <v>-0.39501713396351457</v>
      </c>
      <c r="E910" s="307">
        <f t="shared" ca="1" si="415"/>
        <v>9.7720003141489542E-2</v>
      </c>
      <c r="F910" s="304">
        <f t="shared" ca="1" si="416"/>
        <v>0.40692472908232297</v>
      </c>
      <c r="G910" s="306">
        <f t="shared" ca="1" si="417"/>
        <v>4.4447601744373184</v>
      </c>
      <c r="H910" s="307">
        <f t="shared" ca="1" si="418"/>
        <v>-111.48333329084194</v>
      </c>
      <c r="I910" s="304">
        <f t="shared" ca="1" si="419"/>
        <v>111.57190280104221</v>
      </c>
      <c r="J910" s="306">
        <f t="shared" ca="1" si="420"/>
        <v>928.20926186620727</v>
      </c>
      <c r="K910" s="307">
        <f t="shared" ca="1" si="421"/>
        <v>-6.7327554204535316</v>
      </c>
      <c r="L910" s="304">
        <f t="shared" ca="1" si="406"/>
        <v>928.2336795278228</v>
      </c>
      <c r="M910" s="306">
        <f t="shared" ca="1" si="422"/>
        <v>-1.5309481520346475</v>
      </c>
      <c r="N910" s="304">
        <f t="shared" ca="1" si="423"/>
        <v>-87.716867764938002</v>
      </c>
      <c r="P910" s="310">
        <f t="shared" ca="1" si="424"/>
        <v>23</v>
      </c>
      <c r="Q910" s="304">
        <f t="shared" ca="1" si="425"/>
        <v>0</v>
      </c>
      <c r="R910" s="306">
        <f t="shared" ca="1" si="426"/>
        <v>0</v>
      </c>
      <c r="S910" s="307">
        <f t="shared" ca="1" si="427"/>
        <v>4.9929999999999914</v>
      </c>
      <c r="T910" s="304">
        <f t="shared" ca="1" si="407"/>
        <v>48.981329999999922</v>
      </c>
      <c r="U910" s="311">
        <f t="shared" ca="1" si="408"/>
        <v>0</v>
      </c>
      <c r="V910" s="306">
        <f t="shared" ca="1" si="409"/>
        <v>1.2258250402787261</v>
      </c>
      <c r="W910" s="304">
        <f t="shared" ca="1" si="410"/>
        <v>49.508593340634697</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-0.11337911302378423</v>
      </c>
      <c r="AH910" s="304">
        <f t="shared" ca="1" si="434"/>
        <v>-9.9155914698405532</v>
      </c>
    </row>
    <row r="911" spans="1:34" x14ac:dyDescent="0.2">
      <c r="A911" s="347">
        <f t="shared" ca="1" si="412"/>
        <v>1E-4</v>
      </c>
      <c r="B911" s="304">
        <f t="shared" ca="1" si="413"/>
        <v>43.91080000000067</v>
      </c>
      <c r="D911" s="306">
        <f t="shared" ca="1" si="414"/>
        <v>-0.39501402361050209</v>
      </c>
      <c r="E911" s="307">
        <f t="shared" ca="1" si="415"/>
        <v>9.7729173329568653E-2</v>
      </c>
      <c r="F911" s="304">
        <f t="shared" ca="1" si="416"/>
        <v>0.40692391201382988</v>
      </c>
      <c r="G911" s="306">
        <f t="shared" ca="1" si="417"/>
        <v>4.4447206730349578</v>
      </c>
      <c r="H911" s="307">
        <f t="shared" ca="1" si="418"/>
        <v>-111.4833235179246</v>
      </c>
      <c r="I911" s="304">
        <f t="shared" ca="1" si="419"/>
        <v>111.57189146224754</v>
      </c>
      <c r="J911" s="306">
        <f t="shared" ca="1" si="420"/>
        <v>928.20926186620727</v>
      </c>
      <c r="K911" s="307">
        <f t="shared" ca="1" si="421"/>
        <v>-6.7439037532939698</v>
      </c>
      <c r="L911" s="304">
        <f t="shared" ca="1" si="406"/>
        <v>928.23376045694602</v>
      </c>
      <c r="M911" s="306">
        <f t="shared" ca="1" si="422"/>
        <v>-1.5309485023084886</v>
      </c>
      <c r="N911" s="304">
        <f t="shared" ca="1" si="423"/>
        <v>-87.716887834150768</v>
      </c>
      <c r="P911" s="310">
        <f t="shared" ca="1" si="424"/>
        <v>23</v>
      </c>
      <c r="Q911" s="304">
        <f t="shared" ca="1" si="425"/>
        <v>0</v>
      </c>
      <c r="R911" s="306">
        <f t="shared" ca="1" si="426"/>
        <v>0</v>
      </c>
      <c r="S911" s="307">
        <f t="shared" ca="1" si="427"/>
        <v>4.9929999999999914</v>
      </c>
      <c r="T911" s="304">
        <f t="shared" ca="1" si="407"/>
        <v>48.981329999999922</v>
      </c>
      <c r="U911" s="311">
        <f t="shared" ca="1" si="408"/>
        <v>0</v>
      </c>
      <c r="V911" s="306">
        <f t="shared" ca="1" si="409"/>
        <v>1.2258264068701981</v>
      </c>
      <c r="W911" s="304">
        <f t="shared" ca="1" si="410"/>
        <v>49.508638471600825</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-0.11338801513125141</v>
      </c>
      <c r="AH911" s="304">
        <f t="shared" ca="1" si="434"/>
        <v>-9.9156005088393311</v>
      </c>
    </row>
    <row r="912" spans="1:34" x14ac:dyDescent="0.2">
      <c r="A912" s="347">
        <f t="shared" ca="1" si="412"/>
        <v>1E-4</v>
      </c>
      <c r="B912" s="304">
        <f t="shared" ca="1" si="413"/>
        <v>43.910900000000673</v>
      </c>
      <c r="D912" s="306">
        <f t="shared" ca="1" si="414"/>
        <v>-0.39501091327522697</v>
      </c>
      <c r="E912" s="307">
        <f t="shared" ca="1" si="415"/>
        <v>9.7738343364440539E-2</v>
      </c>
      <c r="F912" s="304">
        <f t="shared" ca="1" si="416"/>
        <v>0.40692309515454411</v>
      </c>
      <c r="G912" s="306">
        <f t="shared" ca="1" si="417"/>
        <v>4.4446811719436301</v>
      </c>
      <c r="H912" s="307">
        <f t="shared" ca="1" si="418"/>
        <v>-111.48331374409027</v>
      </c>
      <c r="I912" s="304">
        <f t="shared" ca="1" si="419"/>
        <v>111.57188012256267</v>
      </c>
      <c r="J912" s="306">
        <f t="shared" ca="1" si="420"/>
        <v>928.20926186620727</v>
      </c>
      <c r="K912" s="307">
        <f t="shared" ca="1" si="421"/>
        <v>-6.7550520851570708</v>
      </c>
      <c r="L912" s="304">
        <f t="shared" ca="1" si="406"/>
        <v>928.23384151994935</v>
      </c>
      <c r="M912" s="306">
        <f t="shared" ca="1" si="422"/>
        <v>-1.5309488525792876</v>
      </c>
      <c r="N912" s="304">
        <f t="shared" ca="1" si="423"/>
        <v>-87.716907903189238</v>
      </c>
      <c r="P912" s="310">
        <f t="shared" ca="1" si="424"/>
        <v>23</v>
      </c>
      <c r="Q912" s="304">
        <f t="shared" ca="1" si="425"/>
        <v>0</v>
      </c>
      <c r="R912" s="306">
        <f t="shared" ca="1" si="426"/>
        <v>0</v>
      </c>
      <c r="S912" s="307">
        <f t="shared" ca="1" si="427"/>
        <v>4.9929999999999914</v>
      </c>
      <c r="T912" s="304">
        <f t="shared" ca="1" si="407"/>
        <v>48.981329999999922</v>
      </c>
      <c r="U912" s="311">
        <f t="shared" ca="1" si="408"/>
        <v>0</v>
      </c>
      <c r="V912" s="306">
        <f t="shared" ca="1" si="409"/>
        <v>1.2258277734630747</v>
      </c>
      <c r="W912" s="304">
        <f t="shared" ca="1" si="410"/>
        <v>49.508683601812251</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-0.11339691708994337</v>
      </c>
      <c r="AH912" s="304">
        <f t="shared" ca="1" si="434"/>
        <v>-9.9156095476869446</v>
      </c>
    </row>
    <row r="913" spans="1:34" x14ac:dyDescent="0.2">
      <c r="A913" s="347">
        <f t="shared" ca="1" si="412"/>
        <v>1E-4</v>
      </c>
      <c r="B913" s="304">
        <f t="shared" ca="1" si="413"/>
        <v>43.911000000000676</v>
      </c>
      <c r="D913" s="306">
        <f t="shared" ca="1" si="414"/>
        <v>-0.39500780295769428</v>
      </c>
      <c r="E913" s="307">
        <f t="shared" ca="1" si="415"/>
        <v>9.7747513246114082E-2</v>
      </c>
      <c r="F913" s="304">
        <f t="shared" ca="1" si="416"/>
        <v>0.40692227850446316</v>
      </c>
      <c r="G913" s="306">
        <f t="shared" ca="1" si="417"/>
        <v>4.4446416711633345</v>
      </c>
      <c r="H913" s="307">
        <f t="shared" ca="1" si="418"/>
        <v>-111.48330396933895</v>
      </c>
      <c r="I913" s="304">
        <f t="shared" ca="1" si="419"/>
        <v>111.57186878198763</v>
      </c>
      <c r="J913" s="306">
        <f t="shared" ca="1" si="420"/>
        <v>928.20926186620727</v>
      </c>
      <c r="K913" s="307">
        <f t="shared" ca="1" si="421"/>
        <v>-6.766200416042742</v>
      </c>
      <c r="L913" s="304">
        <f t="shared" ca="1" si="406"/>
        <v>928.23392271683292</v>
      </c>
      <c r="M913" s="306">
        <f t="shared" ca="1" si="422"/>
        <v>-1.5309492028470451</v>
      </c>
      <c r="N913" s="304">
        <f t="shared" ca="1" si="423"/>
        <v>-87.71692797205344</v>
      </c>
      <c r="P913" s="310">
        <f t="shared" ca="1" si="424"/>
        <v>23</v>
      </c>
      <c r="Q913" s="304">
        <f t="shared" ca="1" si="425"/>
        <v>0</v>
      </c>
      <c r="R913" s="306">
        <f t="shared" ca="1" si="426"/>
        <v>0</v>
      </c>
      <c r="S913" s="307">
        <f t="shared" ca="1" si="427"/>
        <v>4.9929999999999914</v>
      </c>
      <c r="T913" s="304">
        <f t="shared" ca="1" si="407"/>
        <v>48.981329999999922</v>
      </c>
      <c r="U913" s="311">
        <f t="shared" ca="1" si="408"/>
        <v>0</v>
      </c>
      <c r="V913" s="306">
        <f t="shared" ca="1" si="409"/>
        <v>1.2258291400573553</v>
      </c>
      <c r="W913" s="304">
        <f t="shared" ca="1" si="410"/>
        <v>49.50872873126896</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-0.11340581889987611</v>
      </c>
      <c r="AH913" s="304">
        <f t="shared" ca="1" si="434"/>
        <v>-9.9156185863834043</v>
      </c>
    </row>
    <row r="914" spans="1:34" x14ac:dyDescent="0.2">
      <c r="A914" s="347">
        <f t="shared" ca="1" si="412"/>
        <v>1E-4</v>
      </c>
      <c r="B914" s="304">
        <f t="shared" ca="1" si="413"/>
        <v>43.91110000000068</v>
      </c>
      <c r="D914" s="306">
        <f t="shared" ca="1" si="414"/>
        <v>-0.39500469265789973</v>
      </c>
      <c r="E914" s="307">
        <f t="shared" ca="1" si="415"/>
        <v>9.7756682974585729E-2</v>
      </c>
      <c r="F914" s="304">
        <f t="shared" ca="1" si="416"/>
        <v>0.40692146206357255</v>
      </c>
      <c r="G914" s="306">
        <f t="shared" ca="1" si="417"/>
        <v>4.4446021706940684</v>
      </c>
      <c r="H914" s="307">
        <f t="shared" ca="1" si="418"/>
        <v>-111.48329419367064</v>
      </c>
      <c r="I914" s="304">
        <f t="shared" ca="1" si="419"/>
        <v>111.57185744052242</v>
      </c>
      <c r="J914" s="306">
        <f t="shared" ca="1" si="420"/>
        <v>928.20926186620727</v>
      </c>
      <c r="K914" s="307">
        <f t="shared" ca="1" si="421"/>
        <v>-6.7773487459508921</v>
      </c>
      <c r="L914" s="304">
        <f t="shared" ca="1" si="406"/>
        <v>928.23400404759661</v>
      </c>
      <c r="M914" s="306">
        <f t="shared" ca="1" si="422"/>
        <v>-1.530949553111761</v>
      </c>
      <c r="N914" s="304">
        <f t="shared" ca="1" si="423"/>
        <v>-87.716948040743375</v>
      </c>
      <c r="P914" s="310">
        <f t="shared" ca="1" si="424"/>
        <v>23</v>
      </c>
      <c r="Q914" s="304">
        <f t="shared" ca="1" si="425"/>
        <v>0</v>
      </c>
      <c r="R914" s="306">
        <f t="shared" ca="1" si="426"/>
        <v>0</v>
      </c>
      <c r="S914" s="307">
        <f t="shared" ca="1" si="427"/>
        <v>4.9929999999999914</v>
      </c>
      <c r="T914" s="304">
        <f t="shared" ca="1" si="407"/>
        <v>48.981329999999922</v>
      </c>
      <c r="U914" s="311">
        <f t="shared" ca="1" si="408"/>
        <v>0</v>
      </c>
      <c r="V914" s="306">
        <f t="shared" ca="1" si="409"/>
        <v>1.2258305066530404</v>
      </c>
      <c r="W914" s="304">
        <f t="shared" ca="1" si="410"/>
        <v>49.508773859970965</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-0.11341472056104251</v>
      </c>
      <c r="AH914" s="304">
        <f t="shared" ca="1" si="434"/>
        <v>-9.9156276249287085</v>
      </c>
    </row>
    <row r="915" spans="1:34" x14ac:dyDescent="0.2">
      <c r="A915" s="347">
        <f t="shared" ca="1" si="412"/>
        <v>1E-4</v>
      </c>
      <c r="B915" s="304">
        <f t="shared" ca="1" si="413"/>
        <v>43.911200000000683</v>
      </c>
      <c r="D915" s="306">
        <f t="shared" ca="1" si="414"/>
        <v>-0.39500158237584376</v>
      </c>
      <c r="E915" s="307">
        <f t="shared" ca="1" si="415"/>
        <v>9.7765852549862586E-2</v>
      </c>
      <c r="F915" s="304">
        <f t="shared" ca="1" si="416"/>
        <v>0.40692064583186477</v>
      </c>
      <c r="G915" s="306">
        <f t="shared" ca="1" si="417"/>
        <v>4.4445626705358308</v>
      </c>
      <c r="H915" s="307">
        <f t="shared" ca="1" si="418"/>
        <v>-111.48328441708539</v>
      </c>
      <c r="I915" s="304">
        <f t="shared" ca="1" si="419"/>
        <v>111.57184609816704</v>
      </c>
      <c r="J915" s="306">
        <f t="shared" ca="1" si="420"/>
        <v>928.20926186620727</v>
      </c>
      <c r="K915" s="307">
        <f t="shared" ca="1" si="421"/>
        <v>-6.7884970748814295</v>
      </c>
      <c r="L915" s="304">
        <f t="shared" ca="1" si="406"/>
        <v>928.2340855122402</v>
      </c>
      <c r="M915" s="306">
        <f t="shared" ca="1" si="422"/>
        <v>-1.5309499033734351</v>
      </c>
      <c r="N915" s="304">
        <f t="shared" ca="1" si="423"/>
        <v>-87.716968109259028</v>
      </c>
      <c r="P915" s="310">
        <f t="shared" ca="1" si="424"/>
        <v>23</v>
      </c>
      <c r="Q915" s="304">
        <f t="shared" ca="1" si="425"/>
        <v>0</v>
      </c>
      <c r="R915" s="306">
        <f t="shared" ca="1" si="426"/>
        <v>0</v>
      </c>
      <c r="S915" s="307">
        <f t="shared" ca="1" si="427"/>
        <v>4.9929999999999914</v>
      </c>
      <c r="T915" s="304">
        <f t="shared" ca="1" si="407"/>
        <v>48.981329999999922</v>
      </c>
      <c r="U915" s="311">
        <f t="shared" ca="1" si="408"/>
        <v>0</v>
      </c>
      <c r="V915" s="306">
        <f t="shared" ca="1" si="409"/>
        <v>1.2258318732501294</v>
      </c>
      <c r="W915" s="304">
        <f t="shared" ca="1" si="410"/>
        <v>49.508818987918239</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-0.11342362207344969</v>
      </c>
      <c r="AH915" s="304">
        <f t="shared" ca="1" si="434"/>
        <v>-9.9156366633228625</v>
      </c>
    </row>
    <row r="916" spans="1:34" x14ac:dyDescent="0.2">
      <c r="A916" s="347">
        <f t="shared" ca="1" si="412"/>
        <v>1E-4</v>
      </c>
      <c r="B916" s="304">
        <f t="shared" ca="1" si="413"/>
        <v>43.911300000000686</v>
      </c>
      <c r="D916" s="306">
        <f t="shared" ca="1" si="414"/>
        <v>-0.3949984721115285</v>
      </c>
      <c r="E916" s="307">
        <f t="shared" ca="1" si="415"/>
        <v>9.7775021971935772E-2</v>
      </c>
      <c r="F916" s="304">
        <f t="shared" ca="1" si="416"/>
        <v>0.40691982980933045</v>
      </c>
      <c r="G916" s="306">
        <f t="shared" ca="1" si="417"/>
        <v>4.4445231706886199</v>
      </c>
      <c r="H916" s="307">
        <f t="shared" ca="1" si="418"/>
        <v>-111.48327463958319</v>
      </c>
      <c r="I916" s="304">
        <f t="shared" ca="1" si="419"/>
        <v>111.57183475492155</v>
      </c>
      <c r="J916" s="306">
        <f t="shared" ca="1" si="420"/>
        <v>928.20926186620727</v>
      </c>
      <c r="K916" s="307">
        <f t="shared" ca="1" si="421"/>
        <v>-6.7996454028342628</v>
      </c>
      <c r="L916" s="304">
        <f t="shared" ca="1" si="406"/>
        <v>928.23416711076391</v>
      </c>
      <c r="M916" s="306">
        <f t="shared" ca="1" si="422"/>
        <v>-1.5309502536320674</v>
      </c>
      <c r="N916" s="304">
        <f t="shared" ca="1" si="423"/>
        <v>-87.716988177600399</v>
      </c>
      <c r="P916" s="310">
        <f t="shared" ca="1" si="424"/>
        <v>23</v>
      </c>
      <c r="Q916" s="304">
        <f t="shared" ca="1" si="425"/>
        <v>0</v>
      </c>
      <c r="R916" s="306">
        <f t="shared" ca="1" si="426"/>
        <v>0</v>
      </c>
      <c r="S916" s="307">
        <f t="shared" ca="1" si="427"/>
        <v>4.9929999999999914</v>
      </c>
      <c r="T916" s="304">
        <f t="shared" ca="1" si="407"/>
        <v>48.981329999999922</v>
      </c>
      <c r="U916" s="311">
        <f t="shared" ca="1" si="408"/>
        <v>0</v>
      </c>
      <c r="V916" s="306">
        <f t="shared" ca="1" si="409"/>
        <v>1.2258332398486222</v>
      </c>
      <c r="W916" s="304">
        <f t="shared" ca="1" si="410"/>
        <v>49.508864115110846</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-0.11343252343709054</v>
      </c>
      <c r="AH916" s="304">
        <f t="shared" ca="1" si="434"/>
        <v>-9.9156457015658575</v>
      </c>
    </row>
    <row r="917" spans="1:34" x14ac:dyDescent="0.2">
      <c r="A917" s="347">
        <f t="shared" ca="1" si="412"/>
        <v>1E-4</v>
      </c>
      <c r="B917" s="304">
        <f t="shared" ca="1" si="413"/>
        <v>43.91140000000069</v>
      </c>
      <c r="D917" s="306">
        <f t="shared" ca="1" si="414"/>
        <v>-0.39499536186495482</v>
      </c>
      <c r="E917" s="307">
        <f t="shared" ca="1" si="415"/>
        <v>9.7784191240821272E-2</v>
      </c>
      <c r="F917" s="304">
        <f t="shared" ca="1" si="416"/>
        <v>0.4069190139959647</v>
      </c>
      <c r="G917" s="306">
        <f t="shared" ca="1" si="417"/>
        <v>4.4444836711524331</v>
      </c>
      <c r="H917" s="307">
        <f t="shared" ca="1" si="418"/>
        <v>-111.48326486116406</v>
      </c>
      <c r="I917" s="304">
        <f t="shared" ca="1" si="419"/>
        <v>111.57182341078592</v>
      </c>
      <c r="J917" s="306">
        <f t="shared" ca="1" si="420"/>
        <v>928.20926186620727</v>
      </c>
      <c r="K917" s="307">
        <f t="shared" ca="1" si="421"/>
        <v>-6.8107937298093004</v>
      </c>
      <c r="L917" s="304">
        <f t="shared" ca="1" si="406"/>
        <v>928.23424884316751</v>
      </c>
      <c r="M917" s="306">
        <f t="shared" ca="1" si="422"/>
        <v>-1.5309506038876584</v>
      </c>
      <c r="N917" s="304">
        <f t="shared" ca="1" si="423"/>
        <v>-87.717008245767502</v>
      </c>
      <c r="P917" s="310">
        <f t="shared" ca="1" si="424"/>
        <v>23</v>
      </c>
      <c r="Q917" s="304">
        <f t="shared" ca="1" si="425"/>
        <v>0</v>
      </c>
      <c r="R917" s="306">
        <f t="shared" ca="1" si="426"/>
        <v>0</v>
      </c>
      <c r="S917" s="307">
        <f t="shared" ca="1" si="427"/>
        <v>4.9929999999999914</v>
      </c>
      <c r="T917" s="304">
        <f t="shared" ca="1" si="407"/>
        <v>48.981329999999922</v>
      </c>
      <c r="U917" s="311">
        <f t="shared" ca="1" si="408"/>
        <v>0</v>
      </c>
      <c r="V917" s="306">
        <f t="shared" ca="1" si="409"/>
        <v>1.2258346064485199</v>
      </c>
      <c r="W917" s="304">
        <f t="shared" ca="1" si="410"/>
        <v>49.508909241548778</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-0.11344142465197748</v>
      </c>
      <c r="AH917" s="304">
        <f t="shared" ca="1" si="434"/>
        <v>-9.9156547396577075</v>
      </c>
    </row>
    <row r="918" spans="1:34" x14ac:dyDescent="0.2">
      <c r="A918" s="347">
        <f t="shared" ca="1" si="412"/>
        <v>1E-4</v>
      </c>
      <c r="B918" s="304">
        <f t="shared" ca="1" si="413"/>
        <v>43.911500000000693</v>
      </c>
      <c r="D918" s="306">
        <f t="shared" ca="1" si="414"/>
        <v>-0.3949922516361184</v>
      </c>
      <c r="E918" s="307">
        <f t="shared" ca="1" si="415"/>
        <v>9.7793360356511982E-2</v>
      </c>
      <c r="F918" s="304">
        <f t="shared" ca="1" si="416"/>
        <v>0.40691819839175203</v>
      </c>
      <c r="G918" s="306">
        <f t="shared" ca="1" si="417"/>
        <v>4.4444441719272696</v>
      </c>
      <c r="H918" s="307">
        <f t="shared" ca="1" si="418"/>
        <v>-111.48325508182802</v>
      </c>
      <c r="I918" s="304">
        <f t="shared" ca="1" si="419"/>
        <v>111.5718120657602</v>
      </c>
      <c r="J918" s="306">
        <f t="shared" ca="1" si="420"/>
        <v>928.20926186620727</v>
      </c>
      <c r="K918" s="307">
        <f t="shared" ca="1" si="421"/>
        <v>-6.8219420558064501</v>
      </c>
      <c r="L918" s="304">
        <f t="shared" ca="1" si="406"/>
        <v>928.23433070945077</v>
      </c>
      <c r="M918" s="306">
        <f t="shared" ca="1" si="422"/>
        <v>-1.5309509541402075</v>
      </c>
      <c r="N918" s="304">
        <f t="shared" ca="1" si="423"/>
        <v>-87.717028313760338</v>
      </c>
      <c r="P918" s="310">
        <f t="shared" ca="1" si="424"/>
        <v>23</v>
      </c>
      <c r="Q918" s="304">
        <f t="shared" ca="1" si="425"/>
        <v>0</v>
      </c>
      <c r="R918" s="306">
        <f t="shared" ca="1" si="426"/>
        <v>0</v>
      </c>
      <c r="S918" s="307">
        <f t="shared" ca="1" si="427"/>
        <v>4.9929999999999914</v>
      </c>
      <c r="T918" s="304">
        <f t="shared" ca="1" si="407"/>
        <v>48.981329999999922</v>
      </c>
      <c r="U918" s="311">
        <f t="shared" ca="1" si="408"/>
        <v>0</v>
      </c>
      <c r="V918" s="306">
        <f t="shared" ca="1" si="409"/>
        <v>1.2258359730498216</v>
      </c>
      <c r="W918" s="304">
        <f t="shared" ca="1" si="410"/>
        <v>49.508954367232057</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-0.11345032571810876</v>
      </c>
      <c r="AH918" s="304">
        <f t="shared" ca="1" si="434"/>
        <v>-9.9156637775984109</v>
      </c>
    </row>
    <row r="919" spans="1:34" x14ac:dyDescent="0.2">
      <c r="A919" s="347">
        <f t="shared" ca="1" si="412"/>
        <v>1E-4</v>
      </c>
      <c r="B919" s="304">
        <f t="shared" ca="1" si="413"/>
        <v>43.911600000000696</v>
      </c>
      <c r="D919" s="306">
        <f t="shared" ca="1" si="414"/>
        <v>-0.394989141425024</v>
      </c>
      <c r="E919" s="307">
        <f t="shared" ca="1" si="415"/>
        <v>9.7802529319016784E-2</v>
      </c>
      <c r="F919" s="304">
        <f t="shared" ca="1" si="416"/>
        <v>0.40691738299668984</v>
      </c>
      <c r="G919" s="306">
        <f t="shared" ca="1" si="417"/>
        <v>4.4444046730131275</v>
      </c>
      <c r="H919" s="307">
        <f t="shared" ca="1" si="418"/>
        <v>-111.48324530157508</v>
      </c>
      <c r="I919" s="304">
        <f t="shared" ca="1" si="419"/>
        <v>111.57180071984436</v>
      </c>
      <c r="J919" s="306">
        <f t="shared" ca="1" si="420"/>
        <v>928.20926186620727</v>
      </c>
      <c r="K919" s="307">
        <f t="shared" ca="1" si="421"/>
        <v>-6.8330903808256203</v>
      </c>
      <c r="L919" s="304">
        <f t="shared" ca="1" si="406"/>
        <v>928.23441270961393</v>
      </c>
      <c r="M919" s="306">
        <f t="shared" ca="1" si="422"/>
        <v>-1.5309513043897154</v>
      </c>
      <c r="N919" s="304">
        <f t="shared" ca="1" si="423"/>
        <v>-87.71704838157892</v>
      </c>
      <c r="P919" s="310">
        <f t="shared" ca="1" si="424"/>
        <v>23</v>
      </c>
      <c r="Q919" s="304">
        <f t="shared" ca="1" si="425"/>
        <v>0</v>
      </c>
      <c r="R919" s="306">
        <f t="shared" ca="1" si="426"/>
        <v>0</v>
      </c>
      <c r="S919" s="307">
        <f t="shared" ca="1" si="427"/>
        <v>4.9929999999999914</v>
      </c>
      <c r="T919" s="304">
        <f t="shared" ca="1" si="407"/>
        <v>48.981329999999922</v>
      </c>
      <c r="U919" s="311">
        <f t="shared" ca="1" si="408"/>
        <v>0</v>
      </c>
      <c r="V919" s="306">
        <f t="shared" ca="1" si="409"/>
        <v>1.2258373396525277</v>
      </c>
      <c r="W919" s="304">
        <f t="shared" ca="1" si="410"/>
        <v>49.508999492160676</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-0.11345922663548613</v>
      </c>
      <c r="AH919" s="304">
        <f t="shared" ca="1" si="434"/>
        <v>-9.9156728153879712</v>
      </c>
    </row>
    <row r="920" spans="1:34" x14ac:dyDescent="0.2">
      <c r="A920" s="347">
        <f t="shared" ca="1" si="412"/>
        <v>1E-4</v>
      </c>
      <c r="B920" s="304">
        <f t="shared" ca="1" si="413"/>
        <v>43.9117000000007</v>
      </c>
      <c r="D920" s="306">
        <f t="shared" ca="1" si="414"/>
        <v>-0.39498603123166759</v>
      </c>
      <c r="E920" s="307">
        <f t="shared" ca="1" si="415"/>
        <v>9.7811698128335678E-2</v>
      </c>
      <c r="F920" s="304">
        <f t="shared" ca="1" si="416"/>
        <v>0.40691656781076457</v>
      </c>
      <c r="G920" s="306">
        <f t="shared" ca="1" si="417"/>
        <v>4.4443651744100041</v>
      </c>
      <c r="H920" s="307">
        <f t="shared" ca="1" si="418"/>
        <v>-111.48323552040527</v>
      </c>
      <c r="I920" s="304">
        <f t="shared" ca="1" si="419"/>
        <v>111.57178937303847</v>
      </c>
      <c r="J920" s="306">
        <f t="shared" ca="1" si="420"/>
        <v>928.20926186620727</v>
      </c>
      <c r="K920" s="307">
        <f t="shared" ca="1" si="421"/>
        <v>-6.8442387048667195</v>
      </c>
      <c r="L920" s="304">
        <f t="shared" ca="1" si="406"/>
        <v>928.23449484365665</v>
      </c>
      <c r="M920" s="306">
        <f t="shared" ca="1" si="422"/>
        <v>-1.5309516546361814</v>
      </c>
      <c r="N920" s="304">
        <f t="shared" ca="1" si="423"/>
        <v>-87.717068449223206</v>
      </c>
      <c r="P920" s="310">
        <f t="shared" ca="1" si="424"/>
        <v>23</v>
      </c>
      <c r="Q920" s="304">
        <f t="shared" ca="1" si="425"/>
        <v>0</v>
      </c>
      <c r="R920" s="306">
        <f t="shared" ca="1" si="426"/>
        <v>0</v>
      </c>
      <c r="S920" s="307">
        <f t="shared" ca="1" si="427"/>
        <v>4.9929999999999914</v>
      </c>
      <c r="T920" s="304">
        <f t="shared" ca="1" si="407"/>
        <v>48.981329999999922</v>
      </c>
      <c r="U920" s="311">
        <f t="shared" ca="1" si="408"/>
        <v>0</v>
      </c>
      <c r="V920" s="306">
        <f t="shared" ca="1" si="409"/>
        <v>1.2258387062566376</v>
      </c>
      <c r="W920" s="304">
        <f t="shared" ca="1" si="410"/>
        <v>49.509044616334634</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-0.11346812740411316</v>
      </c>
      <c r="AH920" s="304">
        <f t="shared" ca="1" si="434"/>
        <v>-9.9156818530263884</v>
      </c>
    </row>
    <row r="921" spans="1:34" x14ac:dyDescent="0.2">
      <c r="A921" s="347">
        <f t="shared" ca="1" si="412"/>
        <v>1E-4</v>
      </c>
      <c r="B921" s="304">
        <f t="shared" ca="1" si="413"/>
        <v>43.911800000000703</v>
      </c>
      <c r="D921" s="306">
        <f t="shared" ca="1" si="414"/>
        <v>-0.39498292105605376</v>
      </c>
      <c r="E921" s="307">
        <f t="shared" ca="1" si="415"/>
        <v>9.782086678446511E-2</v>
      </c>
      <c r="F921" s="304">
        <f t="shared" ca="1" si="416"/>
        <v>0.40691575283397036</v>
      </c>
      <c r="G921" s="306">
        <f t="shared" ca="1" si="417"/>
        <v>4.4443256761178986</v>
      </c>
      <c r="H921" s="307">
        <f t="shared" ca="1" si="418"/>
        <v>-111.48322573831859</v>
      </c>
      <c r="I921" s="304">
        <f t="shared" ca="1" si="419"/>
        <v>111.57177802534251</v>
      </c>
      <c r="J921" s="306">
        <f t="shared" ca="1" si="420"/>
        <v>928.20926186620727</v>
      </c>
      <c r="K921" s="307">
        <f t="shared" ca="1" si="421"/>
        <v>-6.8553870279296554</v>
      </c>
      <c r="L921" s="304">
        <f t="shared" ca="1" si="406"/>
        <v>928.23457711157903</v>
      </c>
      <c r="M921" s="306">
        <f t="shared" ca="1" si="422"/>
        <v>-1.5309520048796061</v>
      </c>
      <c r="N921" s="304">
        <f t="shared" ca="1" si="423"/>
        <v>-87.717088516693252</v>
      </c>
      <c r="P921" s="310">
        <f t="shared" ca="1" si="424"/>
        <v>23</v>
      </c>
      <c r="Q921" s="304">
        <f t="shared" ca="1" si="425"/>
        <v>0</v>
      </c>
      <c r="R921" s="306">
        <f t="shared" ca="1" si="426"/>
        <v>0</v>
      </c>
      <c r="S921" s="307">
        <f t="shared" ca="1" si="427"/>
        <v>4.9929999999999914</v>
      </c>
      <c r="T921" s="304">
        <f t="shared" ca="1" si="407"/>
        <v>48.981329999999922</v>
      </c>
      <c r="U921" s="311">
        <f t="shared" ca="1" si="408"/>
        <v>0</v>
      </c>
      <c r="V921" s="306">
        <f t="shared" ca="1" si="409"/>
        <v>1.2258400728621512</v>
      </c>
      <c r="W921" s="304">
        <f t="shared" ca="1" si="410"/>
        <v>49.509089739753961</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-0.11347702802398807</v>
      </c>
      <c r="AH921" s="304">
        <f t="shared" ca="1" si="434"/>
        <v>-9.9156908905136625</v>
      </c>
    </row>
    <row r="922" spans="1:34" x14ac:dyDescent="0.2">
      <c r="A922" s="347">
        <f t="shared" ca="1" si="412"/>
        <v>1E-4</v>
      </c>
      <c r="B922" s="304">
        <f t="shared" ca="1" si="413"/>
        <v>43.911900000000706</v>
      </c>
      <c r="D922" s="306">
        <f t="shared" ca="1" si="414"/>
        <v>-0.39497981089817846</v>
      </c>
      <c r="E922" s="307">
        <f t="shared" ca="1" si="415"/>
        <v>9.7830035287410411E-2</v>
      </c>
      <c r="F922" s="304">
        <f t="shared" ca="1" si="416"/>
        <v>0.40691493806629508</v>
      </c>
      <c r="G922" s="306">
        <f t="shared" ca="1" si="417"/>
        <v>4.4442861781368093</v>
      </c>
      <c r="H922" s="307">
        <f t="shared" ca="1" si="418"/>
        <v>-111.48321595531506</v>
      </c>
      <c r="I922" s="304">
        <f t="shared" ca="1" si="419"/>
        <v>111.57176667675651</v>
      </c>
      <c r="J922" s="306">
        <f t="shared" ca="1" si="420"/>
        <v>928.20926186620727</v>
      </c>
      <c r="K922" s="307">
        <f t="shared" ca="1" si="421"/>
        <v>-6.8665353500143373</v>
      </c>
      <c r="L922" s="304">
        <f t="shared" ca="1" si="406"/>
        <v>928.23465951338096</v>
      </c>
      <c r="M922" s="306">
        <f t="shared" ca="1" si="422"/>
        <v>-1.5309523551199895</v>
      </c>
      <c r="N922" s="304">
        <f t="shared" ca="1" si="423"/>
        <v>-87.717108583989031</v>
      </c>
      <c r="P922" s="310">
        <f t="shared" ca="1" si="424"/>
        <v>23</v>
      </c>
      <c r="Q922" s="304">
        <f t="shared" ca="1" si="425"/>
        <v>0</v>
      </c>
      <c r="R922" s="306">
        <f t="shared" ca="1" si="426"/>
        <v>0</v>
      </c>
      <c r="S922" s="307">
        <f t="shared" ca="1" si="427"/>
        <v>4.9929999999999914</v>
      </c>
      <c r="T922" s="304">
        <f t="shared" ca="1" si="407"/>
        <v>48.981329999999922</v>
      </c>
      <c r="U922" s="311">
        <f t="shared" ca="1" si="408"/>
        <v>0</v>
      </c>
      <c r="V922" s="306">
        <f t="shared" ca="1" si="409"/>
        <v>1.22584143946907</v>
      </c>
      <c r="W922" s="304">
        <f t="shared" ca="1" si="410"/>
        <v>49.509134862418698</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-0.11348592849511796</v>
      </c>
      <c r="AH922" s="304">
        <f t="shared" ca="1" si="434"/>
        <v>-9.9156999278497988</v>
      </c>
    </row>
    <row r="923" spans="1:34" x14ac:dyDescent="0.2">
      <c r="A923" s="347">
        <f t="shared" ca="1" si="412"/>
        <v>1E-4</v>
      </c>
      <c r="B923" s="304">
        <f t="shared" ca="1" si="413"/>
        <v>43.91200000000071</v>
      </c>
      <c r="D923" s="306">
        <f t="shared" ca="1" si="414"/>
        <v>-0.39497670075804237</v>
      </c>
      <c r="E923" s="307">
        <f t="shared" ca="1" si="415"/>
        <v>9.7839203637182237E-2</v>
      </c>
      <c r="F923" s="304">
        <f t="shared" ca="1" si="416"/>
        <v>0.40691412350773248</v>
      </c>
      <c r="G923" s="306">
        <f t="shared" ca="1" si="417"/>
        <v>4.4442466804667333</v>
      </c>
      <c r="H923" s="307">
        <f t="shared" ca="1" si="418"/>
        <v>-111.4832061713947</v>
      </c>
      <c r="I923" s="304">
        <f t="shared" ca="1" si="419"/>
        <v>111.57175532728047</v>
      </c>
      <c r="J923" s="306">
        <f t="shared" ca="1" si="420"/>
        <v>928.20926186620727</v>
      </c>
      <c r="K923" s="307">
        <f t="shared" ca="1" si="421"/>
        <v>-6.877683671120673</v>
      </c>
      <c r="L923" s="304">
        <f t="shared" ca="1" si="406"/>
        <v>928.23474204906233</v>
      </c>
      <c r="M923" s="306">
        <f t="shared" ca="1" si="422"/>
        <v>-1.5309527053573313</v>
      </c>
      <c r="N923" s="304">
        <f t="shared" ca="1" si="423"/>
        <v>-87.717128651110542</v>
      </c>
      <c r="P923" s="310">
        <f t="shared" ca="1" si="424"/>
        <v>23</v>
      </c>
      <c r="Q923" s="304">
        <f t="shared" ca="1" si="425"/>
        <v>0</v>
      </c>
      <c r="R923" s="306">
        <f t="shared" ca="1" si="426"/>
        <v>0</v>
      </c>
      <c r="S923" s="307">
        <f t="shared" ca="1" si="427"/>
        <v>4.9929999999999914</v>
      </c>
      <c r="T923" s="304">
        <f t="shared" ca="1" si="407"/>
        <v>48.981329999999922</v>
      </c>
      <c r="U923" s="311">
        <f t="shared" ca="1" si="408"/>
        <v>0</v>
      </c>
      <c r="V923" s="306">
        <f t="shared" ca="1" si="409"/>
        <v>1.2258428060773923</v>
      </c>
      <c r="W923" s="304">
        <f t="shared" ca="1" si="410"/>
        <v>49.509179984328796</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-0.11349482881750461</v>
      </c>
      <c r="AH923" s="304">
        <f t="shared" ca="1" si="434"/>
        <v>-9.9157089650348045</v>
      </c>
    </row>
    <row r="924" spans="1:34" x14ac:dyDescent="0.2">
      <c r="A924" s="347">
        <f t="shared" ca="1" si="412"/>
        <v>1E-4</v>
      </c>
      <c r="B924" s="304">
        <f t="shared" ca="1" si="413"/>
        <v>43.912100000000713</v>
      </c>
      <c r="D924" s="306">
        <f t="shared" ca="1" si="414"/>
        <v>-0.39497359063564758</v>
      </c>
      <c r="E924" s="307">
        <f t="shared" ca="1" si="415"/>
        <v>9.7848371833771708E-2</v>
      </c>
      <c r="F924" s="304">
        <f t="shared" ca="1" si="416"/>
        <v>0.40691330915827284</v>
      </c>
      <c r="G924" s="306">
        <f t="shared" ca="1" si="417"/>
        <v>4.4442071831076699</v>
      </c>
      <c r="H924" s="307">
        <f t="shared" ca="1" si="418"/>
        <v>-111.48319638655751</v>
      </c>
      <c r="I924" s="304">
        <f t="shared" ca="1" si="419"/>
        <v>111.57174397691441</v>
      </c>
      <c r="J924" s="306">
        <f t="shared" ca="1" si="420"/>
        <v>928.20926186620727</v>
      </c>
      <c r="K924" s="307">
        <f t="shared" ca="1" si="421"/>
        <v>-6.8888319912485709</v>
      </c>
      <c r="L924" s="304">
        <f t="shared" ca="1" si="406"/>
        <v>928.23482471862314</v>
      </c>
      <c r="M924" s="306">
        <f t="shared" ca="1" si="422"/>
        <v>-1.5309530555916318</v>
      </c>
      <c r="N924" s="304">
        <f t="shared" ca="1" si="423"/>
        <v>-87.7171487180578</v>
      </c>
      <c r="P924" s="310">
        <f t="shared" ca="1" si="424"/>
        <v>23</v>
      </c>
      <c r="Q924" s="304">
        <f t="shared" ca="1" si="425"/>
        <v>0</v>
      </c>
      <c r="R924" s="306">
        <f t="shared" ca="1" si="426"/>
        <v>0</v>
      </c>
      <c r="S924" s="307">
        <f t="shared" ca="1" si="427"/>
        <v>4.9929999999999914</v>
      </c>
      <c r="T924" s="304">
        <f t="shared" ca="1" si="407"/>
        <v>48.981329999999922</v>
      </c>
      <c r="U924" s="311">
        <f t="shared" ca="1" si="408"/>
        <v>0</v>
      </c>
      <c r="V924" s="306">
        <f t="shared" ca="1" si="409"/>
        <v>1.2258441726871185</v>
      </c>
      <c r="W924" s="304">
        <f t="shared" ca="1" si="410"/>
        <v>49.509225105484269</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-0.11350372899114625</v>
      </c>
      <c r="AH924" s="304">
        <f t="shared" ca="1" si="434"/>
        <v>-9.9157180020686724</v>
      </c>
    </row>
    <row r="925" spans="1:34" x14ac:dyDescent="0.2">
      <c r="A925" s="347">
        <f t="shared" ca="1" si="412"/>
        <v>1E-4</v>
      </c>
      <c r="B925" s="304">
        <f t="shared" ca="1" si="413"/>
        <v>43.912200000000716</v>
      </c>
      <c r="D925" s="306">
        <f t="shared" ca="1" si="414"/>
        <v>-0.3949704805309921</v>
      </c>
      <c r="E925" s="307">
        <f t="shared" ca="1" si="415"/>
        <v>9.7857539877178823E-2</v>
      </c>
      <c r="F925" s="304">
        <f t="shared" ca="1" si="416"/>
        <v>0.40691249501790488</v>
      </c>
      <c r="G925" s="306">
        <f t="shared" ca="1" si="417"/>
        <v>4.4441676860596164</v>
      </c>
      <c r="H925" s="307">
        <f t="shared" ca="1" si="418"/>
        <v>-111.48318660080352</v>
      </c>
      <c r="I925" s="304">
        <f t="shared" ca="1" si="419"/>
        <v>111.57173262565834</v>
      </c>
      <c r="J925" s="306">
        <f t="shared" ca="1" si="420"/>
        <v>928.20926186620727</v>
      </c>
      <c r="K925" s="307">
        <f t="shared" ca="1" si="421"/>
        <v>-6.8999803103979387</v>
      </c>
      <c r="L925" s="304">
        <f t="shared" ca="1" si="406"/>
        <v>928.23490752206317</v>
      </c>
      <c r="M925" s="306">
        <f t="shared" ca="1" si="422"/>
        <v>-1.5309534058228906</v>
      </c>
      <c r="N925" s="304">
        <f t="shared" ca="1" si="423"/>
        <v>-87.71716878483079</v>
      </c>
      <c r="P925" s="310">
        <f t="shared" ca="1" si="424"/>
        <v>23</v>
      </c>
      <c r="Q925" s="304">
        <f t="shared" ca="1" si="425"/>
        <v>0</v>
      </c>
      <c r="R925" s="306">
        <f t="shared" ca="1" si="426"/>
        <v>0</v>
      </c>
      <c r="S925" s="307">
        <f t="shared" ca="1" si="427"/>
        <v>4.9929999999999914</v>
      </c>
      <c r="T925" s="304">
        <f t="shared" ca="1" si="407"/>
        <v>48.981329999999922</v>
      </c>
      <c r="U925" s="311">
        <f t="shared" ca="1" si="408"/>
        <v>0</v>
      </c>
      <c r="V925" s="306">
        <f t="shared" ca="1" si="409"/>
        <v>1.2258455392982492</v>
      </c>
      <c r="W925" s="304">
        <f t="shared" ca="1" si="410"/>
        <v>49.509270225885174</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-0.11351262901604109</v>
      </c>
      <c r="AH925" s="304">
        <f t="shared" ca="1" si="434"/>
        <v>-9.9157270389514025</v>
      </c>
    </row>
    <row r="926" spans="1:34" x14ac:dyDescent="0.2">
      <c r="A926" s="347">
        <f t="shared" ca="1" si="412"/>
        <v>1E-4</v>
      </c>
      <c r="B926" s="304">
        <f t="shared" ca="1" si="413"/>
        <v>43.91230000000072</v>
      </c>
      <c r="D926" s="306">
        <f t="shared" ca="1" si="414"/>
        <v>-0.39496737044407892</v>
      </c>
      <c r="E926" s="307">
        <f t="shared" ca="1" si="415"/>
        <v>9.7866707767416017E-2</v>
      </c>
      <c r="F926" s="304">
        <f t="shared" ca="1" si="416"/>
        <v>0.40691168108662484</v>
      </c>
      <c r="G926" s="306">
        <f t="shared" ca="1" si="417"/>
        <v>4.4441281893225719</v>
      </c>
      <c r="H926" s="307">
        <f t="shared" ca="1" si="418"/>
        <v>-111.48317681413275</v>
      </c>
      <c r="I926" s="304">
        <f t="shared" ca="1" si="419"/>
        <v>111.5717212735123</v>
      </c>
      <c r="J926" s="306">
        <f t="shared" ca="1" si="420"/>
        <v>928.20926186620727</v>
      </c>
      <c r="K926" s="307">
        <f t="shared" ca="1" si="421"/>
        <v>-6.9111286285686857</v>
      </c>
      <c r="L926" s="304">
        <f t="shared" ca="1" si="406"/>
        <v>928.23499045938252</v>
      </c>
      <c r="M926" s="306">
        <f t="shared" ca="1" si="422"/>
        <v>-1.5309537560511084</v>
      </c>
      <c r="N926" s="304">
        <f t="shared" ca="1" si="423"/>
        <v>-87.717188851429526</v>
      </c>
      <c r="P926" s="310">
        <f t="shared" ca="1" si="424"/>
        <v>23</v>
      </c>
      <c r="Q926" s="304">
        <f t="shared" ca="1" si="425"/>
        <v>0</v>
      </c>
      <c r="R926" s="306">
        <f t="shared" ca="1" si="426"/>
        <v>0</v>
      </c>
      <c r="S926" s="307">
        <f t="shared" ca="1" si="427"/>
        <v>4.9929999999999914</v>
      </c>
      <c r="T926" s="304">
        <f t="shared" ca="1" si="407"/>
        <v>48.981329999999922</v>
      </c>
      <c r="U926" s="311">
        <f t="shared" ca="1" si="408"/>
        <v>0</v>
      </c>
      <c r="V926" s="306">
        <f t="shared" ca="1" si="409"/>
        <v>1.2258469059107842</v>
      </c>
      <c r="W926" s="304">
        <f t="shared" ca="1" si="410"/>
        <v>49.509315345531498</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-0.1135215288921998</v>
      </c>
      <c r="AH926" s="304">
        <f t="shared" ca="1" si="434"/>
        <v>-9.9157360756830073</v>
      </c>
    </row>
    <row r="927" spans="1:34" x14ac:dyDescent="0.2">
      <c r="A927" s="347">
        <f t="shared" ca="1" si="412"/>
        <v>1E-4</v>
      </c>
      <c r="B927" s="304">
        <f t="shared" ca="1" si="413"/>
        <v>43.912400000000723</v>
      </c>
      <c r="D927" s="306">
        <f t="shared" ca="1" si="414"/>
        <v>-0.39496426037490373</v>
      </c>
      <c r="E927" s="307">
        <f t="shared" ca="1" si="415"/>
        <v>9.7875875504481513E-2</v>
      </c>
      <c r="F927" s="304">
        <f t="shared" ca="1" si="416"/>
        <v>0.40691086736441867</v>
      </c>
      <c r="G927" s="306">
        <f t="shared" ca="1" si="417"/>
        <v>4.4440886928965346</v>
      </c>
      <c r="H927" s="307">
        <f t="shared" ca="1" si="418"/>
        <v>-111.4831670265452</v>
      </c>
      <c r="I927" s="304">
        <f t="shared" ca="1" si="419"/>
        <v>111.57170992047628</v>
      </c>
      <c r="J927" s="306">
        <f t="shared" ca="1" si="420"/>
        <v>928.20926186620727</v>
      </c>
      <c r="K927" s="307">
        <f t="shared" ca="1" si="421"/>
        <v>-6.9222769457607196</v>
      </c>
      <c r="L927" s="304">
        <f t="shared" ca="1" si="406"/>
        <v>928.23507353058096</v>
      </c>
      <c r="M927" s="306">
        <f t="shared" ca="1" si="422"/>
        <v>-1.5309541062762848</v>
      </c>
      <c r="N927" s="304">
        <f t="shared" ca="1" si="423"/>
        <v>-87.717208917854023</v>
      </c>
      <c r="P927" s="310">
        <f t="shared" ca="1" si="424"/>
        <v>23</v>
      </c>
      <c r="Q927" s="304">
        <f t="shared" ca="1" si="425"/>
        <v>0</v>
      </c>
      <c r="R927" s="306">
        <f t="shared" ca="1" si="426"/>
        <v>0</v>
      </c>
      <c r="S927" s="307">
        <f t="shared" ca="1" si="427"/>
        <v>4.9929999999999914</v>
      </c>
      <c r="T927" s="304">
        <f t="shared" ca="1" si="407"/>
        <v>48.981329999999922</v>
      </c>
      <c r="U927" s="311">
        <f t="shared" ca="1" si="408"/>
        <v>0</v>
      </c>
      <c r="V927" s="306">
        <f t="shared" ca="1" si="409"/>
        <v>1.2258482725247226</v>
      </c>
      <c r="W927" s="304">
        <f t="shared" ca="1" si="410"/>
        <v>49.509360464423239</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-0.11353042861962415</v>
      </c>
      <c r="AH927" s="304">
        <f t="shared" ca="1" si="434"/>
        <v>-9.915745112263485</v>
      </c>
    </row>
    <row r="928" spans="1:34" x14ac:dyDescent="0.2">
      <c r="A928" s="347">
        <f t="shared" ca="1" si="412"/>
        <v>1E-4</v>
      </c>
      <c r="B928" s="304">
        <f t="shared" ca="1" si="413"/>
        <v>43.912500000000726</v>
      </c>
      <c r="D928" s="306">
        <f t="shared" ca="1" si="414"/>
        <v>-0.39496115032346907</v>
      </c>
      <c r="E928" s="307">
        <f t="shared" ca="1" si="415"/>
        <v>9.7885043088373536E-2</v>
      </c>
      <c r="F928" s="304">
        <f t="shared" ca="1" si="416"/>
        <v>0.40691005385127887</v>
      </c>
      <c r="G928" s="306">
        <f t="shared" ca="1" si="417"/>
        <v>4.4440491967815019</v>
      </c>
      <c r="H928" s="307">
        <f t="shared" ca="1" si="418"/>
        <v>-111.48315723804089</v>
      </c>
      <c r="I928" s="304">
        <f t="shared" ca="1" si="419"/>
        <v>111.57169856655031</v>
      </c>
      <c r="J928" s="306">
        <f t="shared" ca="1" si="420"/>
        <v>928.20926186620727</v>
      </c>
      <c r="K928" s="307">
        <f t="shared" ca="1" si="421"/>
        <v>-6.9334252619739489</v>
      </c>
      <c r="L928" s="304">
        <f t="shared" ca="1" si="406"/>
        <v>928.23515673565862</v>
      </c>
      <c r="M928" s="306">
        <f t="shared" ca="1" si="422"/>
        <v>-1.5309544564984199</v>
      </c>
      <c r="N928" s="304">
        <f t="shared" ca="1" si="423"/>
        <v>-87.717228984104253</v>
      </c>
      <c r="P928" s="310">
        <f t="shared" ca="1" si="424"/>
        <v>23</v>
      </c>
      <c r="Q928" s="304">
        <f t="shared" ca="1" si="425"/>
        <v>0</v>
      </c>
      <c r="R928" s="306">
        <f t="shared" ca="1" si="426"/>
        <v>0</v>
      </c>
      <c r="S928" s="307">
        <f t="shared" ca="1" si="427"/>
        <v>4.9929999999999914</v>
      </c>
      <c r="T928" s="304">
        <f t="shared" ca="1" si="407"/>
        <v>48.981329999999922</v>
      </c>
      <c r="U928" s="311">
        <f t="shared" ca="1" si="408"/>
        <v>0</v>
      </c>
      <c r="V928" s="306">
        <f t="shared" ca="1" si="409"/>
        <v>1.2258496391400657</v>
      </c>
      <c r="W928" s="304">
        <f t="shared" ca="1" si="410"/>
        <v>49.509405582560447</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-0.11353932819830881</v>
      </c>
      <c r="AH928" s="304">
        <f t="shared" ca="1" si="434"/>
        <v>-9.9157541486928338</v>
      </c>
    </row>
    <row r="929" spans="1:34" x14ac:dyDescent="0.2">
      <c r="A929" s="347">
        <f t="shared" ca="1" si="412"/>
        <v>1E-4</v>
      </c>
      <c r="B929" s="304">
        <f t="shared" ca="1" si="413"/>
        <v>43.912600000000729</v>
      </c>
      <c r="D929" s="306">
        <f t="shared" ca="1" si="414"/>
        <v>-0.39495804028977549</v>
      </c>
      <c r="E929" s="307">
        <f t="shared" ca="1" si="415"/>
        <v>9.7894210519104519E-2</v>
      </c>
      <c r="F929" s="304">
        <f t="shared" ca="1" si="416"/>
        <v>0.40690924054719951</v>
      </c>
      <c r="G929" s="306">
        <f t="shared" ca="1" si="417"/>
        <v>4.4440097009774728</v>
      </c>
      <c r="H929" s="307">
        <f t="shared" ca="1" si="418"/>
        <v>-111.48314744861983</v>
      </c>
      <c r="I929" s="304">
        <f t="shared" ca="1" si="419"/>
        <v>111.57168721173439</v>
      </c>
      <c r="J929" s="306">
        <f t="shared" ca="1" si="420"/>
        <v>928.20926186620727</v>
      </c>
      <c r="K929" s="307">
        <f t="shared" ca="1" si="421"/>
        <v>-6.9445735772082822</v>
      </c>
      <c r="L929" s="304">
        <f t="shared" ca="1" si="406"/>
        <v>928.23524007461526</v>
      </c>
      <c r="M929" s="306">
        <f t="shared" ca="1" si="422"/>
        <v>-1.5309548067175136</v>
      </c>
      <c r="N929" s="304">
        <f t="shared" ca="1" si="423"/>
        <v>-87.717249050180229</v>
      </c>
      <c r="P929" s="310">
        <f t="shared" ca="1" si="424"/>
        <v>23</v>
      </c>
      <c r="Q929" s="304">
        <f t="shared" ca="1" si="425"/>
        <v>0</v>
      </c>
      <c r="R929" s="306">
        <f t="shared" ca="1" si="426"/>
        <v>0</v>
      </c>
      <c r="S929" s="307">
        <f t="shared" ca="1" si="427"/>
        <v>4.9929999999999914</v>
      </c>
      <c r="T929" s="304">
        <f t="shared" ca="1" si="407"/>
        <v>48.981329999999922</v>
      </c>
      <c r="U929" s="311">
        <f t="shared" ca="1" si="408"/>
        <v>0</v>
      </c>
      <c r="V929" s="306">
        <f t="shared" ca="1" si="409"/>
        <v>1.2258510057568128</v>
      </c>
      <c r="W929" s="304">
        <f t="shared" ca="1" si="410"/>
        <v>49.509450699943088</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-0.11354822762826977</v>
      </c>
      <c r="AH929" s="304">
        <f t="shared" ca="1" si="434"/>
        <v>-9.9157631849710661</v>
      </c>
    </row>
    <row r="930" spans="1:34" x14ac:dyDescent="0.2">
      <c r="A930" s="347">
        <f t="shared" ca="1" si="412"/>
        <v>1E-4</v>
      </c>
      <c r="B930" s="304">
        <f t="shared" ca="1" si="413"/>
        <v>43.912700000000733</v>
      </c>
      <c r="D930" s="306">
        <f t="shared" ca="1" si="414"/>
        <v>-0.394954930273823</v>
      </c>
      <c r="E930" s="307">
        <f t="shared" ca="1" si="415"/>
        <v>9.790337779666558E-2</v>
      </c>
      <c r="F930" s="304">
        <f t="shared" ca="1" si="416"/>
        <v>0.40690842745216893</v>
      </c>
      <c r="G930" s="306">
        <f t="shared" ca="1" si="417"/>
        <v>4.4439702054844457</v>
      </c>
      <c r="H930" s="307">
        <f t="shared" ca="1" si="418"/>
        <v>-111.48313765828205</v>
      </c>
      <c r="I930" s="304">
        <f t="shared" ca="1" si="419"/>
        <v>111.57167585602852</v>
      </c>
      <c r="J930" s="306">
        <f t="shared" ca="1" si="420"/>
        <v>928.20926186620727</v>
      </c>
      <c r="K930" s="307">
        <f t="shared" ca="1" si="421"/>
        <v>-6.955721891463627</v>
      </c>
      <c r="L930" s="304">
        <f t="shared" ca="1" si="406"/>
        <v>928.23532354745078</v>
      </c>
      <c r="M930" s="306">
        <f t="shared" ca="1" si="422"/>
        <v>-1.5309551569335662</v>
      </c>
      <c r="N930" s="304">
        <f t="shared" ca="1" si="423"/>
        <v>-87.717269116081951</v>
      </c>
      <c r="P930" s="310">
        <f t="shared" ca="1" si="424"/>
        <v>23</v>
      </c>
      <c r="Q930" s="304">
        <f t="shared" ca="1" si="425"/>
        <v>0</v>
      </c>
      <c r="R930" s="306">
        <f t="shared" ca="1" si="426"/>
        <v>0</v>
      </c>
      <c r="S930" s="307">
        <f t="shared" ca="1" si="427"/>
        <v>4.9929999999999914</v>
      </c>
      <c r="T930" s="304">
        <f t="shared" ca="1" si="407"/>
        <v>48.981329999999922</v>
      </c>
      <c r="U930" s="311">
        <f t="shared" ca="1" si="408"/>
        <v>0</v>
      </c>
      <c r="V930" s="306">
        <f t="shared" ca="1" si="409"/>
        <v>1.2258523723749637</v>
      </c>
      <c r="W930" s="304">
        <f t="shared" ca="1" si="410"/>
        <v>49.50949581657116</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-0.11355712690949282</v>
      </c>
      <c r="AH930" s="304">
        <f t="shared" ca="1" si="434"/>
        <v>-9.9157722210981714</v>
      </c>
    </row>
    <row r="931" spans="1:34" x14ac:dyDescent="0.2">
      <c r="A931" s="347">
        <f t="shared" ca="1" si="412"/>
        <v>1E-4</v>
      </c>
      <c r="B931" s="304">
        <f t="shared" ca="1" si="413"/>
        <v>43.912800000000736</v>
      </c>
      <c r="D931" s="306">
        <f t="shared" ca="1" si="414"/>
        <v>-0.39495182027560954</v>
      </c>
      <c r="E931" s="307">
        <f t="shared" ca="1" si="415"/>
        <v>9.7912544921056721E-2</v>
      </c>
      <c r="F931" s="304">
        <f t="shared" ca="1" si="416"/>
        <v>0.40690761456617563</v>
      </c>
      <c r="G931" s="306">
        <f t="shared" ca="1" si="417"/>
        <v>4.4439307103024177</v>
      </c>
      <c r="H931" s="307">
        <f t="shared" ca="1" si="418"/>
        <v>-111.48312786702755</v>
      </c>
      <c r="I931" s="304">
        <f t="shared" ca="1" si="419"/>
        <v>111.57166449943276</v>
      </c>
      <c r="J931" s="306">
        <f t="shared" ca="1" si="420"/>
        <v>928.20926186620727</v>
      </c>
      <c r="K931" s="307">
        <f t="shared" ca="1" si="421"/>
        <v>-6.9668702047398927</v>
      </c>
      <c r="L931" s="304">
        <f t="shared" ca="1" si="406"/>
        <v>928.23540715416527</v>
      </c>
      <c r="M931" s="306">
        <f t="shared" ca="1" si="422"/>
        <v>-1.5309555071465777</v>
      </c>
      <c r="N931" s="304">
        <f t="shared" ca="1" si="423"/>
        <v>-87.717289181809448</v>
      </c>
      <c r="P931" s="310">
        <f t="shared" ca="1" si="424"/>
        <v>23</v>
      </c>
      <c r="Q931" s="304">
        <f t="shared" ca="1" si="425"/>
        <v>0</v>
      </c>
      <c r="R931" s="306">
        <f t="shared" ca="1" si="426"/>
        <v>0</v>
      </c>
      <c r="S931" s="307">
        <f t="shared" ca="1" si="427"/>
        <v>4.9929999999999914</v>
      </c>
      <c r="T931" s="304">
        <f t="shared" ca="1" si="407"/>
        <v>48.981329999999922</v>
      </c>
      <c r="U931" s="311">
        <f t="shared" ca="1" si="408"/>
        <v>0</v>
      </c>
      <c r="V931" s="306">
        <f t="shared" ca="1" si="409"/>
        <v>1.2258537389945188</v>
      </c>
      <c r="W931" s="304">
        <f t="shared" ca="1" si="410"/>
        <v>49.509540932444722</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-0.11356602604198329</v>
      </c>
      <c r="AH931" s="304">
        <f t="shared" ca="1" si="434"/>
        <v>-9.915781257074153</v>
      </c>
    </row>
    <row r="932" spans="1:34" x14ac:dyDescent="0.2">
      <c r="A932" s="347">
        <f t="shared" ca="1" si="412"/>
        <v>1E-4</v>
      </c>
      <c r="B932" s="304">
        <f t="shared" ca="1" si="413"/>
        <v>43.912900000000739</v>
      </c>
      <c r="D932" s="306">
        <f t="shared" ca="1" si="414"/>
        <v>-0.3949487102951359</v>
      </c>
      <c r="E932" s="307">
        <f t="shared" ca="1" si="415"/>
        <v>9.7921711892288599E-2</v>
      </c>
      <c r="F932" s="304">
        <f t="shared" ca="1" si="416"/>
        <v>0.40690680188921335</v>
      </c>
      <c r="G932" s="306">
        <f t="shared" ca="1" si="417"/>
        <v>4.4438912154313881</v>
      </c>
      <c r="H932" s="307">
        <f t="shared" ca="1" si="418"/>
        <v>-111.48311807485636</v>
      </c>
      <c r="I932" s="304">
        <f t="shared" ca="1" si="419"/>
        <v>111.5716531419471</v>
      </c>
      <c r="J932" s="306">
        <f t="shared" ca="1" si="420"/>
        <v>928.20926186620727</v>
      </c>
      <c r="K932" s="307">
        <f t="shared" ca="1" si="421"/>
        <v>-6.9780185170369871</v>
      </c>
      <c r="L932" s="304">
        <f t="shared" ca="1" si="406"/>
        <v>928.23549089475853</v>
      </c>
      <c r="M932" s="306">
        <f t="shared" ca="1" si="422"/>
        <v>-1.5309558573565478</v>
      </c>
      <c r="N932" s="304">
        <f t="shared" ca="1" si="423"/>
        <v>-87.717309247362678</v>
      </c>
      <c r="P932" s="310">
        <f t="shared" ca="1" si="424"/>
        <v>23</v>
      </c>
      <c r="Q932" s="304">
        <f t="shared" ca="1" si="425"/>
        <v>0</v>
      </c>
      <c r="R932" s="306">
        <f t="shared" ca="1" si="426"/>
        <v>0</v>
      </c>
      <c r="S932" s="307">
        <f t="shared" ca="1" si="427"/>
        <v>4.9929999999999914</v>
      </c>
      <c r="T932" s="304">
        <f t="shared" ca="1" si="407"/>
        <v>48.981329999999922</v>
      </c>
      <c r="U932" s="311">
        <f t="shared" ca="1" si="408"/>
        <v>0</v>
      </c>
      <c r="V932" s="306">
        <f t="shared" ca="1" si="409"/>
        <v>1.2258551056154783</v>
      </c>
      <c r="W932" s="304">
        <f t="shared" ca="1" si="410"/>
        <v>49.509586047563786</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-0.11357492502574829</v>
      </c>
      <c r="AH932" s="304">
        <f t="shared" ca="1" si="434"/>
        <v>-9.91579029289902</v>
      </c>
    </row>
    <row r="933" spans="1:34" x14ac:dyDescent="0.2">
      <c r="A933" s="347">
        <f t="shared" ca="1" si="412"/>
        <v>1E-4</v>
      </c>
      <c r="B933" s="304">
        <f t="shared" ca="1" si="413"/>
        <v>43.913000000000743</v>
      </c>
      <c r="D933" s="306">
        <f t="shared" ca="1" si="414"/>
        <v>-0.39494560033240461</v>
      </c>
      <c r="E933" s="307">
        <f t="shared" ca="1" si="415"/>
        <v>9.7930878710366542E-2</v>
      </c>
      <c r="F933" s="304">
        <f t="shared" ca="1" si="416"/>
        <v>0.40690598942127654</v>
      </c>
      <c r="G933" s="306">
        <f t="shared" ca="1" si="417"/>
        <v>4.443851720871355</v>
      </c>
      <c r="H933" s="307">
        <f t="shared" ca="1" si="418"/>
        <v>-111.48310828176849</v>
      </c>
      <c r="I933" s="304">
        <f t="shared" ca="1" si="419"/>
        <v>111.57164178357156</v>
      </c>
      <c r="J933" s="306">
        <f t="shared" ca="1" si="420"/>
        <v>928.20926186620727</v>
      </c>
      <c r="K933" s="307">
        <f t="shared" ca="1" si="421"/>
        <v>-6.9891668283548185</v>
      </c>
      <c r="L933" s="304">
        <f t="shared" ca="1" si="406"/>
        <v>928.23557476923054</v>
      </c>
      <c r="M933" s="306">
        <f t="shared" ca="1" si="422"/>
        <v>-1.5309562075634771</v>
      </c>
      <c r="N933" s="304">
        <f t="shared" ca="1" si="423"/>
        <v>-87.717329312741683</v>
      </c>
      <c r="P933" s="310">
        <f t="shared" ca="1" si="424"/>
        <v>23</v>
      </c>
      <c r="Q933" s="304">
        <f t="shared" ca="1" si="425"/>
        <v>0</v>
      </c>
      <c r="R933" s="306">
        <f t="shared" ca="1" si="426"/>
        <v>0</v>
      </c>
      <c r="S933" s="307">
        <f t="shared" ca="1" si="427"/>
        <v>4.9929999999999914</v>
      </c>
      <c r="T933" s="304">
        <f t="shared" ca="1" si="407"/>
        <v>48.981329999999922</v>
      </c>
      <c r="U933" s="311">
        <f t="shared" ca="1" si="408"/>
        <v>0</v>
      </c>
      <c r="V933" s="306">
        <f t="shared" ca="1" si="409"/>
        <v>1.2258564722378413</v>
      </c>
      <c r="W933" s="304">
        <f t="shared" ca="1" si="410"/>
        <v>49.50963116192834</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-0.11358382386079491</v>
      </c>
      <c r="AH933" s="304">
        <f t="shared" ca="1" si="434"/>
        <v>-9.9157993285727759</v>
      </c>
    </row>
    <row r="934" spans="1:34" x14ac:dyDescent="0.2">
      <c r="A934" s="347">
        <f t="shared" ca="1" si="412"/>
        <v>1E-4</v>
      </c>
      <c r="B934" s="304">
        <f t="shared" ca="1" si="413"/>
        <v>43.913100000000746</v>
      </c>
      <c r="D934" s="306">
        <f t="shared" ca="1" si="414"/>
        <v>-0.39494249038741142</v>
      </c>
      <c r="E934" s="307">
        <f t="shared" ca="1" si="415"/>
        <v>9.7940045375286999E-2</v>
      </c>
      <c r="F934" s="304">
        <f t="shared" ca="1" si="416"/>
        <v>0.40690517716235047</v>
      </c>
      <c r="G934" s="306">
        <f t="shared" ca="1" si="417"/>
        <v>4.4438122266223159</v>
      </c>
      <c r="H934" s="307">
        <f t="shared" ca="1" si="418"/>
        <v>-111.48309848776395</v>
      </c>
      <c r="I934" s="304">
        <f t="shared" ca="1" si="419"/>
        <v>111.57163042430615</v>
      </c>
      <c r="J934" s="306">
        <f t="shared" ca="1" si="420"/>
        <v>928.20926186620727</v>
      </c>
      <c r="K934" s="307">
        <f t="shared" ca="1" si="421"/>
        <v>-7.0003151386932947</v>
      </c>
      <c r="L934" s="304">
        <f t="shared" ca="1" si="406"/>
        <v>928.23565877758131</v>
      </c>
      <c r="M934" s="306">
        <f t="shared" ca="1" si="422"/>
        <v>-1.5309565577673649</v>
      </c>
      <c r="N934" s="304">
        <f t="shared" ca="1" si="423"/>
        <v>-87.71734937794642</v>
      </c>
      <c r="P934" s="310">
        <f t="shared" ca="1" si="424"/>
        <v>23</v>
      </c>
      <c r="Q934" s="304">
        <f t="shared" ca="1" si="425"/>
        <v>0</v>
      </c>
      <c r="R934" s="306">
        <f t="shared" ca="1" si="426"/>
        <v>0</v>
      </c>
      <c r="S934" s="307">
        <f t="shared" ca="1" si="427"/>
        <v>4.9929999999999914</v>
      </c>
      <c r="T934" s="304">
        <f t="shared" ca="1" si="407"/>
        <v>48.981329999999922</v>
      </c>
      <c r="U934" s="311">
        <f t="shared" ca="1" si="408"/>
        <v>0</v>
      </c>
      <c r="V934" s="306">
        <f t="shared" ca="1" si="409"/>
        <v>1.2258578388616084</v>
      </c>
      <c r="W934" s="304">
        <f t="shared" ca="1" si="410"/>
        <v>49.509676275538375</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-0.11359272254711783</v>
      </c>
      <c r="AH934" s="304">
        <f t="shared" ca="1" si="434"/>
        <v>-9.9158083640954189</v>
      </c>
    </row>
    <row r="935" spans="1:34" x14ac:dyDescent="0.2">
      <c r="A935" s="347">
        <f t="shared" ca="1" si="412"/>
        <v>1E-4</v>
      </c>
      <c r="B935" s="304">
        <f t="shared" ca="1" si="413"/>
        <v>43.913200000000749</v>
      </c>
      <c r="D935" s="306">
        <f t="shared" ca="1" si="414"/>
        <v>-0.39493938046016092</v>
      </c>
      <c r="E935" s="307">
        <f t="shared" ca="1" si="415"/>
        <v>9.7949211887046417E-2</v>
      </c>
      <c r="F935" s="304">
        <f t="shared" ca="1" si="416"/>
        <v>0.40690436511242939</v>
      </c>
      <c r="G935" s="306">
        <f t="shared" ca="1" si="417"/>
        <v>4.4437727326842698</v>
      </c>
      <c r="H935" s="307">
        <f t="shared" ca="1" si="418"/>
        <v>-111.48308869284277</v>
      </c>
      <c r="I935" s="304">
        <f t="shared" ca="1" si="419"/>
        <v>111.57161906415088</v>
      </c>
      <c r="J935" s="306">
        <f t="shared" ca="1" si="420"/>
        <v>928.20926186620727</v>
      </c>
      <c r="K935" s="307">
        <f t="shared" ca="1" si="421"/>
        <v>-7.011463448052325</v>
      </c>
      <c r="L935" s="304">
        <f t="shared" ca="1" si="406"/>
        <v>928.2357429198106</v>
      </c>
      <c r="M935" s="306">
        <f t="shared" ca="1" si="422"/>
        <v>-1.5309569079682117</v>
      </c>
      <c r="N935" s="304">
        <f t="shared" ca="1" si="423"/>
        <v>-87.717369442976917</v>
      </c>
      <c r="P935" s="310">
        <f t="shared" ca="1" si="424"/>
        <v>23</v>
      </c>
      <c r="Q935" s="304">
        <f t="shared" ca="1" si="425"/>
        <v>0</v>
      </c>
      <c r="R935" s="306">
        <f t="shared" ca="1" si="426"/>
        <v>0</v>
      </c>
      <c r="S935" s="307">
        <f t="shared" ca="1" si="427"/>
        <v>4.9929999999999914</v>
      </c>
      <c r="T935" s="304">
        <f t="shared" ca="1" si="407"/>
        <v>48.981329999999922</v>
      </c>
      <c r="U935" s="311">
        <f t="shared" ca="1" si="408"/>
        <v>0</v>
      </c>
      <c r="V935" s="306">
        <f t="shared" ca="1" si="409"/>
        <v>1.2258592054867798</v>
      </c>
      <c r="W935" s="304">
        <f t="shared" ca="1" si="410"/>
        <v>49.50972138839392</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-0.11360162108471528</v>
      </c>
      <c r="AH935" s="304">
        <f t="shared" ca="1" si="434"/>
        <v>-9.9158173994669454</v>
      </c>
    </row>
    <row r="936" spans="1:34" x14ac:dyDescent="0.2">
      <c r="A936" s="347">
        <f t="shared" ca="1" si="412"/>
        <v>1E-4</v>
      </c>
      <c r="B936" s="304">
        <f t="shared" ca="1" si="413"/>
        <v>43.913300000000753</v>
      </c>
      <c r="D936" s="306">
        <f t="shared" ca="1" si="414"/>
        <v>-0.39493627055065122</v>
      </c>
      <c r="E936" s="307">
        <f t="shared" ca="1" si="415"/>
        <v>9.79583782456519E-2</v>
      </c>
      <c r="F936" s="304">
        <f t="shared" ca="1" si="416"/>
        <v>0.40690355327150363</v>
      </c>
      <c r="G936" s="306">
        <f t="shared" ca="1" si="417"/>
        <v>4.4437332390572148</v>
      </c>
      <c r="H936" s="307">
        <f t="shared" ca="1" si="418"/>
        <v>-111.48307889700494</v>
      </c>
      <c r="I936" s="304">
        <f t="shared" ca="1" si="419"/>
        <v>111.57160770310577</v>
      </c>
      <c r="J936" s="306">
        <f t="shared" ca="1" si="420"/>
        <v>928.20926186620727</v>
      </c>
      <c r="K936" s="307">
        <f t="shared" ca="1" si="421"/>
        <v>-7.0226117564318171</v>
      </c>
      <c r="L936" s="304">
        <f t="shared" ca="1" si="406"/>
        <v>928.23582719591832</v>
      </c>
      <c r="M936" s="306">
        <f t="shared" ca="1" si="422"/>
        <v>-1.5309572581660176</v>
      </c>
      <c r="N936" s="304">
        <f t="shared" ca="1" si="423"/>
        <v>-87.71738950783319</v>
      </c>
      <c r="P936" s="310">
        <f t="shared" ca="1" si="424"/>
        <v>23</v>
      </c>
      <c r="Q936" s="304">
        <f t="shared" ca="1" si="425"/>
        <v>0</v>
      </c>
      <c r="R936" s="306">
        <f t="shared" ca="1" si="426"/>
        <v>0</v>
      </c>
      <c r="S936" s="307">
        <f t="shared" ca="1" si="427"/>
        <v>4.9929999999999914</v>
      </c>
      <c r="T936" s="304">
        <f t="shared" ca="1" si="407"/>
        <v>48.981329999999922</v>
      </c>
      <c r="U936" s="311">
        <f t="shared" ca="1" si="408"/>
        <v>0</v>
      </c>
      <c r="V936" s="306">
        <f t="shared" ca="1" si="409"/>
        <v>1.2258605721133549</v>
      </c>
      <c r="W936" s="304">
        <f t="shared" ca="1" si="410"/>
        <v>49.509766500494976</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-0.11361051947359435</v>
      </c>
      <c r="AH936" s="304">
        <f t="shared" ca="1" si="434"/>
        <v>-9.9158264346873626</v>
      </c>
    </row>
    <row r="937" spans="1:34" x14ac:dyDescent="0.2">
      <c r="A937" s="347">
        <f t="shared" ca="1" si="412"/>
        <v>1E-4</v>
      </c>
      <c r="B937" s="304">
        <f t="shared" ca="1" si="413"/>
        <v>43.913400000000756</v>
      </c>
      <c r="D937" s="306">
        <f t="shared" ca="1" si="414"/>
        <v>-0.39493316065888068</v>
      </c>
      <c r="E937" s="307">
        <f t="shared" ca="1" si="415"/>
        <v>9.7967544451107003E-2</v>
      </c>
      <c r="F937" s="304">
        <f t="shared" ca="1" si="416"/>
        <v>0.40690274163956291</v>
      </c>
      <c r="G937" s="306">
        <f t="shared" ca="1" si="417"/>
        <v>4.4436937457411494</v>
      </c>
      <c r="H937" s="307">
        <f t="shared" ca="1" si="418"/>
        <v>-111.4830691002505</v>
      </c>
      <c r="I937" s="304">
        <f t="shared" ca="1" si="419"/>
        <v>111.57159634117085</v>
      </c>
      <c r="J937" s="306">
        <f t="shared" ca="1" si="420"/>
        <v>928.20926186620727</v>
      </c>
      <c r="K937" s="307">
        <f t="shared" ca="1" si="421"/>
        <v>-7.0337600638316795</v>
      </c>
      <c r="L937" s="304">
        <f t="shared" ca="1" si="406"/>
        <v>928.23591160590468</v>
      </c>
      <c r="M937" s="306">
        <f t="shared" ca="1" si="422"/>
        <v>-1.5309576083607823</v>
      </c>
      <c r="N937" s="304">
        <f t="shared" ca="1" si="423"/>
        <v>-87.717409572515223</v>
      </c>
      <c r="P937" s="310">
        <f t="shared" ca="1" si="424"/>
        <v>23</v>
      </c>
      <c r="Q937" s="304">
        <f t="shared" ca="1" si="425"/>
        <v>0</v>
      </c>
      <c r="R937" s="306">
        <f t="shared" ca="1" si="426"/>
        <v>0</v>
      </c>
      <c r="S937" s="307">
        <f t="shared" ca="1" si="427"/>
        <v>4.9929999999999914</v>
      </c>
      <c r="T937" s="304">
        <f t="shared" ca="1" si="407"/>
        <v>48.981329999999922</v>
      </c>
      <c r="U937" s="311">
        <f t="shared" ca="1" si="408"/>
        <v>0</v>
      </c>
      <c r="V937" s="306">
        <f t="shared" ca="1" si="409"/>
        <v>1.2258619387413341</v>
      </c>
      <c r="W937" s="304">
        <f t="shared" ca="1" si="410"/>
        <v>49.509811611841585</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-0.11361941771375506</v>
      </c>
      <c r="AH937" s="304">
        <f t="shared" ca="1" si="434"/>
        <v>-9.9158354697566722</v>
      </c>
    </row>
    <row r="938" spans="1:34" x14ac:dyDescent="0.2">
      <c r="A938" s="347">
        <f t="shared" ca="1" si="412"/>
        <v>1E-4</v>
      </c>
      <c r="B938" s="304">
        <f t="shared" ca="1" si="413"/>
        <v>43.913500000000759</v>
      </c>
      <c r="D938" s="306">
        <f t="shared" ca="1" si="414"/>
        <v>-0.39493005078485188</v>
      </c>
      <c r="E938" s="307">
        <f t="shared" ca="1" si="415"/>
        <v>9.7976710503415276E-2</v>
      </c>
      <c r="F938" s="304">
        <f t="shared" ca="1" si="416"/>
        <v>0.40690193021660109</v>
      </c>
      <c r="G938" s="306">
        <f t="shared" ca="1" si="417"/>
        <v>4.4436542527360707</v>
      </c>
      <c r="H938" s="307">
        <f t="shared" ca="1" si="418"/>
        <v>-111.48305930257945</v>
      </c>
      <c r="I938" s="304">
        <f t="shared" ca="1" si="419"/>
        <v>111.5715849783461</v>
      </c>
      <c r="J938" s="306">
        <f t="shared" ca="1" si="420"/>
        <v>928.20926186620727</v>
      </c>
      <c r="K938" s="307">
        <f t="shared" ca="1" si="421"/>
        <v>-7.0449083702518207</v>
      </c>
      <c r="L938" s="304">
        <f t="shared" ca="1" si="406"/>
        <v>928.23599614976933</v>
      </c>
      <c r="M938" s="306">
        <f t="shared" ca="1" si="422"/>
        <v>-1.5309579585525062</v>
      </c>
      <c r="N938" s="304">
        <f t="shared" ca="1" si="423"/>
        <v>-87.717429637023017</v>
      </c>
      <c r="P938" s="310">
        <f t="shared" ca="1" si="424"/>
        <v>23</v>
      </c>
      <c r="Q938" s="304">
        <f t="shared" ca="1" si="425"/>
        <v>0</v>
      </c>
      <c r="R938" s="306">
        <f t="shared" ca="1" si="426"/>
        <v>0</v>
      </c>
      <c r="S938" s="307">
        <f t="shared" ca="1" si="427"/>
        <v>4.9929999999999914</v>
      </c>
      <c r="T938" s="304">
        <f t="shared" ca="1" si="407"/>
        <v>48.981329999999922</v>
      </c>
      <c r="U938" s="311">
        <f t="shared" ca="1" si="408"/>
        <v>0</v>
      </c>
      <c r="V938" s="306">
        <f t="shared" ca="1" si="409"/>
        <v>1.2258633053707175</v>
      </c>
      <c r="W938" s="304">
        <f t="shared" ca="1" si="410"/>
        <v>49.509856722433739</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-0.11362831580520449</v>
      </c>
      <c r="AH938" s="304">
        <f t="shared" ca="1" si="434"/>
        <v>-9.9158445046748795</v>
      </c>
    </row>
    <row r="939" spans="1:34" x14ac:dyDescent="0.2">
      <c r="A939" s="347">
        <f t="shared" ca="1" si="412"/>
        <v>1E-4</v>
      </c>
      <c r="B939" s="304">
        <f t="shared" ca="1" si="413"/>
        <v>43.913600000000763</v>
      </c>
      <c r="D939" s="306">
        <f t="shared" ca="1" si="414"/>
        <v>-0.39492694092856268</v>
      </c>
      <c r="E939" s="307">
        <f t="shared" ca="1" si="415"/>
        <v>9.7985876402574945E-2</v>
      </c>
      <c r="F939" s="304">
        <f t="shared" ca="1" si="416"/>
        <v>0.40690111900260628</v>
      </c>
      <c r="G939" s="306">
        <f t="shared" ca="1" si="417"/>
        <v>4.443614760041978</v>
      </c>
      <c r="H939" s="307">
        <f t="shared" ca="1" si="418"/>
        <v>-111.48304950399181</v>
      </c>
      <c r="I939" s="304">
        <f t="shared" ca="1" si="419"/>
        <v>111.57157361463157</v>
      </c>
      <c r="J939" s="306">
        <f t="shared" ca="1" si="420"/>
        <v>928.20926186620727</v>
      </c>
      <c r="K939" s="307">
        <f t="shared" ca="1" si="421"/>
        <v>-7.0560566756921492</v>
      </c>
      <c r="L939" s="304">
        <f t="shared" ca="1" si="406"/>
        <v>928.2360808275123</v>
      </c>
      <c r="M939" s="306">
        <f t="shared" ca="1" si="422"/>
        <v>-1.5309583087411889</v>
      </c>
      <c r="N939" s="304">
        <f t="shared" ca="1" si="423"/>
        <v>-87.717449701356571</v>
      </c>
      <c r="P939" s="310">
        <f t="shared" ca="1" si="424"/>
        <v>23</v>
      </c>
      <c r="Q939" s="304">
        <f t="shared" ca="1" si="425"/>
        <v>0</v>
      </c>
      <c r="R939" s="306">
        <f t="shared" ca="1" si="426"/>
        <v>0</v>
      </c>
      <c r="S939" s="307">
        <f t="shared" ca="1" si="427"/>
        <v>4.9929999999999914</v>
      </c>
      <c r="T939" s="304">
        <f t="shared" ca="1" si="407"/>
        <v>48.981329999999922</v>
      </c>
      <c r="U939" s="311">
        <f t="shared" ca="1" si="408"/>
        <v>0</v>
      </c>
      <c r="V939" s="306">
        <f t="shared" ca="1" si="409"/>
        <v>1.2258646720015045</v>
      </c>
      <c r="W939" s="304">
        <f t="shared" ca="1" si="410"/>
        <v>49.509901832271439</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-0.11363721374793911</v>
      </c>
      <c r="AH939" s="304">
        <f t="shared" ca="1" si="434"/>
        <v>-9.9158535394419829</v>
      </c>
    </row>
    <row r="940" spans="1:34" x14ac:dyDescent="0.2">
      <c r="A940" s="347">
        <f t="shared" ca="1" si="412"/>
        <v>1E-4</v>
      </c>
      <c r="B940" s="304">
        <f t="shared" ca="1" si="413"/>
        <v>43.913700000000766</v>
      </c>
      <c r="D940" s="306">
        <f t="shared" ca="1" si="414"/>
        <v>-0.39492383109001578</v>
      </c>
      <c r="E940" s="307">
        <f t="shared" ca="1" si="415"/>
        <v>9.7995042148589562E-2</v>
      </c>
      <c r="F940" s="304">
        <f t="shared" ca="1" si="416"/>
        <v>0.40690030799757221</v>
      </c>
      <c r="G940" s="306">
        <f t="shared" ca="1" si="417"/>
        <v>4.4435752676588693</v>
      </c>
      <c r="H940" s="307">
        <f t="shared" ca="1" si="418"/>
        <v>-111.4830397044876</v>
      </c>
      <c r="I940" s="304">
        <f t="shared" ca="1" si="419"/>
        <v>111.57156225002726</v>
      </c>
      <c r="J940" s="306">
        <f t="shared" ca="1" si="420"/>
        <v>928.20926186620727</v>
      </c>
      <c r="K940" s="307">
        <f t="shared" ca="1" si="421"/>
        <v>-7.0672049801525736</v>
      </c>
      <c r="L940" s="304">
        <f t="shared" ca="1" si="406"/>
        <v>928.23616563913345</v>
      </c>
      <c r="M940" s="306">
        <f t="shared" ca="1" si="422"/>
        <v>-1.5309586589268309</v>
      </c>
      <c r="N940" s="304">
        <f t="shared" ca="1" si="423"/>
        <v>-87.717469765515901</v>
      </c>
      <c r="P940" s="310">
        <f t="shared" ca="1" si="424"/>
        <v>23</v>
      </c>
      <c r="Q940" s="304">
        <f t="shared" ca="1" si="425"/>
        <v>0</v>
      </c>
      <c r="R940" s="306">
        <f t="shared" ca="1" si="426"/>
        <v>0</v>
      </c>
      <c r="S940" s="307">
        <f t="shared" ca="1" si="427"/>
        <v>4.9929999999999914</v>
      </c>
      <c r="T940" s="304">
        <f t="shared" ca="1" si="407"/>
        <v>48.981329999999922</v>
      </c>
      <c r="U940" s="311">
        <f t="shared" ca="1" si="408"/>
        <v>0</v>
      </c>
      <c r="V940" s="306">
        <f t="shared" ca="1" si="409"/>
        <v>1.2258660386336964</v>
      </c>
      <c r="W940" s="304">
        <f t="shared" ca="1" si="410"/>
        <v>49.50994694135472</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-0.11364611154196425</v>
      </c>
      <c r="AH940" s="304">
        <f t="shared" ca="1" si="434"/>
        <v>-9.9158625740579858</v>
      </c>
    </row>
    <row r="941" spans="1:34" x14ac:dyDescent="0.2">
      <c r="A941" s="347">
        <f t="shared" ca="1" si="412"/>
        <v>1E-4</v>
      </c>
      <c r="B941" s="304">
        <f t="shared" ca="1" si="413"/>
        <v>43.913800000000769</v>
      </c>
      <c r="D941" s="306">
        <f t="shared" ca="1" si="414"/>
        <v>-0.39492072126920724</v>
      </c>
      <c r="E941" s="307">
        <f t="shared" ca="1" si="415"/>
        <v>9.8004207741466232E-2</v>
      </c>
      <c r="F941" s="304">
        <f t="shared" ca="1" si="416"/>
        <v>0.40689949720148749</v>
      </c>
      <c r="G941" s="306">
        <f t="shared" ca="1" si="417"/>
        <v>4.4435357755867422</v>
      </c>
      <c r="H941" s="307">
        <f t="shared" ca="1" si="418"/>
        <v>-111.48302990406683</v>
      </c>
      <c r="I941" s="304">
        <f t="shared" ca="1" si="419"/>
        <v>111.57155088453318</v>
      </c>
      <c r="J941" s="306">
        <f t="shared" ca="1" si="420"/>
        <v>928.20926186620727</v>
      </c>
      <c r="K941" s="307">
        <f t="shared" ca="1" si="421"/>
        <v>-7.0783532836330014</v>
      </c>
      <c r="L941" s="304">
        <f t="shared" ca="1" si="406"/>
        <v>928.23625058463278</v>
      </c>
      <c r="M941" s="306">
        <f t="shared" ca="1" si="422"/>
        <v>-1.5309590091094318</v>
      </c>
      <c r="N941" s="304">
        <f t="shared" ca="1" si="423"/>
        <v>-87.717489829500991</v>
      </c>
      <c r="P941" s="310">
        <f t="shared" ca="1" si="424"/>
        <v>23</v>
      </c>
      <c r="Q941" s="304">
        <f t="shared" ca="1" si="425"/>
        <v>0</v>
      </c>
      <c r="R941" s="306">
        <f t="shared" ca="1" si="426"/>
        <v>0</v>
      </c>
      <c r="S941" s="307">
        <f t="shared" ca="1" si="427"/>
        <v>4.9929999999999914</v>
      </c>
      <c r="T941" s="304">
        <f t="shared" ca="1" si="407"/>
        <v>48.981329999999922</v>
      </c>
      <c r="U941" s="311">
        <f t="shared" ca="1" si="408"/>
        <v>0</v>
      </c>
      <c r="V941" s="306">
        <f t="shared" ca="1" si="409"/>
        <v>1.2258674052672911</v>
      </c>
      <c r="W941" s="304">
        <f t="shared" ca="1" si="410"/>
        <v>49.509992049683547</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-0.11365500918728522</v>
      </c>
      <c r="AH941" s="304">
        <f t="shared" ca="1" si="434"/>
        <v>-9.9158716085228935</v>
      </c>
    </row>
    <row r="942" spans="1:34" x14ac:dyDescent="0.2">
      <c r="A942" s="347">
        <f t="shared" ca="1" si="412"/>
        <v>1E-4</v>
      </c>
      <c r="B942" s="304">
        <f t="shared" ca="1" si="413"/>
        <v>43.913900000000773</v>
      </c>
      <c r="D942" s="306">
        <f t="shared" ca="1" si="414"/>
        <v>-0.39491761146614129</v>
      </c>
      <c r="E942" s="307">
        <f t="shared" ca="1" si="415"/>
        <v>9.8013373181194297E-2</v>
      </c>
      <c r="F942" s="304">
        <f t="shared" ca="1" si="416"/>
        <v>0.40689868661434409</v>
      </c>
      <c r="G942" s="306">
        <f t="shared" ca="1" si="417"/>
        <v>4.4434962838255956</v>
      </c>
      <c r="H942" s="307">
        <f t="shared" ca="1" si="418"/>
        <v>-111.48302010272951</v>
      </c>
      <c r="I942" s="304">
        <f t="shared" ca="1" si="419"/>
        <v>111.57153951814936</v>
      </c>
      <c r="J942" s="306">
        <f t="shared" ca="1" si="420"/>
        <v>928.20926186620727</v>
      </c>
      <c r="K942" s="307">
        <f t="shared" ca="1" si="421"/>
        <v>-7.0895015861333412</v>
      </c>
      <c r="L942" s="304">
        <f t="shared" ca="1" si="406"/>
        <v>928.2363356640102</v>
      </c>
      <c r="M942" s="306">
        <f t="shared" ca="1" si="422"/>
        <v>-1.5309593592889919</v>
      </c>
      <c r="N942" s="304">
        <f t="shared" ca="1" si="423"/>
        <v>-87.717509893311856</v>
      </c>
      <c r="P942" s="310">
        <f t="shared" ca="1" si="424"/>
        <v>23</v>
      </c>
      <c r="Q942" s="304">
        <f t="shared" ca="1" si="425"/>
        <v>0</v>
      </c>
      <c r="R942" s="306">
        <f t="shared" ca="1" si="426"/>
        <v>0</v>
      </c>
      <c r="S942" s="307">
        <f t="shared" ca="1" si="427"/>
        <v>4.9929999999999914</v>
      </c>
      <c r="T942" s="304">
        <f t="shared" ca="1" si="407"/>
        <v>48.981329999999922</v>
      </c>
      <c r="U942" s="311">
        <f t="shared" ca="1" si="408"/>
        <v>0</v>
      </c>
      <c r="V942" s="306">
        <f t="shared" ca="1" si="409"/>
        <v>1.2258687719022907</v>
      </c>
      <c r="W942" s="304">
        <f t="shared" ca="1" si="410"/>
        <v>49.51003715725799</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-0.11366390668388959</v>
      </c>
      <c r="AH942" s="304">
        <f t="shared" ca="1" si="434"/>
        <v>-9.9158806428366972</v>
      </c>
    </row>
    <row r="943" spans="1:34" x14ac:dyDescent="0.2">
      <c r="A943" s="347">
        <f t="shared" ca="1" si="412"/>
        <v>1E-4</v>
      </c>
      <c r="B943" s="304">
        <f t="shared" ca="1" si="413"/>
        <v>43.914000000000776</v>
      </c>
      <c r="D943" s="306">
        <f t="shared" ca="1" si="414"/>
        <v>-0.39491450168081665</v>
      </c>
      <c r="E943" s="307">
        <f t="shared" ca="1" si="415"/>
        <v>9.802253846779152E-2</v>
      </c>
      <c r="F943" s="304">
        <f t="shared" ca="1" si="416"/>
        <v>0.40689787623613549</v>
      </c>
      <c r="G943" s="306">
        <f t="shared" ca="1" si="417"/>
        <v>4.4434567923754278</v>
      </c>
      <c r="H943" s="307">
        <f t="shared" ca="1" si="418"/>
        <v>-111.48301030047567</v>
      </c>
      <c r="I943" s="304">
        <f t="shared" ca="1" si="419"/>
        <v>111.57152815087581</v>
      </c>
      <c r="J943" s="306">
        <f t="shared" ca="1" si="420"/>
        <v>928.20926186620727</v>
      </c>
      <c r="K943" s="307">
        <f t="shared" ca="1" si="421"/>
        <v>-7.1006498876535016</v>
      </c>
      <c r="L943" s="304">
        <f t="shared" ca="1" si="406"/>
        <v>928.23642087726569</v>
      </c>
      <c r="M943" s="306">
        <f t="shared" ca="1" si="422"/>
        <v>-1.530959709465511</v>
      </c>
      <c r="N943" s="304">
        <f t="shared" ca="1" si="423"/>
        <v>-87.717529956948482</v>
      </c>
      <c r="P943" s="310">
        <f t="shared" ca="1" si="424"/>
        <v>23</v>
      </c>
      <c r="Q943" s="304">
        <f t="shared" ca="1" si="425"/>
        <v>0</v>
      </c>
      <c r="R943" s="306">
        <f t="shared" ca="1" si="426"/>
        <v>0</v>
      </c>
      <c r="S943" s="307">
        <f t="shared" ca="1" si="427"/>
        <v>4.9929999999999914</v>
      </c>
      <c r="T943" s="304">
        <f t="shared" ca="1" si="407"/>
        <v>48.981329999999922</v>
      </c>
      <c r="U943" s="311">
        <f t="shared" ca="1" si="408"/>
        <v>0</v>
      </c>
      <c r="V943" s="306">
        <f t="shared" ca="1" si="409"/>
        <v>1.2258701385386934</v>
      </c>
      <c r="W943" s="304">
        <f t="shared" ca="1" si="410"/>
        <v>49.510082264078001</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-0.11367280403180047</v>
      </c>
      <c r="AH943" s="304">
        <f t="shared" ca="1" si="434"/>
        <v>-9.9158896769994147</v>
      </c>
    </row>
    <row r="944" spans="1:34" x14ac:dyDescent="0.2">
      <c r="A944" s="347">
        <f t="shared" ca="1" si="412"/>
        <v>1E-4</v>
      </c>
      <c r="B944" s="304">
        <f t="shared" ca="1" si="413"/>
        <v>43.914100000000779</v>
      </c>
      <c r="D944" s="306">
        <f t="shared" ca="1" si="414"/>
        <v>-0.39491139191323316</v>
      </c>
      <c r="E944" s="307">
        <f t="shared" ca="1" si="415"/>
        <v>9.8031703601247244E-2</v>
      </c>
      <c r="F944" s="304">
        <f t="shared" ca="1" si="416"/>
        <v>0.40689706606684944</v>
      </c>
      <c r="G944" s="306">
        <f t="shared" ca="1" si="417"/>
        <v>4.4434173012362361</v>
      </c>
      <c r="H944" s="307">
        <f t="shared" ca="1" si="418"/>
        <v>-111.48300049730531</v>
      </c>
      <c r="I944" s="304">
        <f t="shared" ca="1" si="419"/>
        <v>111.57151678271252</v>
      </c>
      <c r="J944" s="306">
        <f t="shared" ca="1" si="420"/>
        <v>928.20926186620727</v>
      </c>
      <c r="K944" s="307">
        <f t="shared" ca="1" si="421"/>
        <v>-7.1117981881933909</v>
      </c>
      <c r="L944" s="304">
        <f t="shared" ca="1" si="406"/>
        <v>928.23650622439902</v>
      </c>
      <c r="M944" s="306">
        <f t="shared" ca="1" si="422"/>
        <v>-1.5309600596389894</v>
      </c>
      <c r="N944" s="304">
        <f t="shared" ca="1" si="423"/>
        <v>-87.717550020410897</v>
      </c>
      <c r="P944" s="310">
        <f t="shared" ca="1" si="424"/>
        <v>23</v>
      </c>
      <c r="Q944" s="304">
        <f t="shared" ca="1" si="425"/>
        <v>0</v>
      </c>
      <c r="R944" s="306">
        <f t="shared" ca="1" si="426"/>
        <v>0</v>
      </c>
      <c r="S944" s="307">
        <f t="shared" ca="1" si="427"/>
        <v>4.9929999999999914</v>
      </c>
      <c r="T944" s="304">
        <f t="shared" ca="1" si="407"/>
        <v>48.981329999999922</v>
      </c>
      <c r="U944" s="311">
        <f t="shared" ca="1" si="408"/>
        <v>0</v>
      </c>
      <c r="V944" s="306">
        <f t="shared" ca="1" si="409"/>
        <v>1.2258715051765008</v>
      </c>
      <c r="W944" s="304">
        <f t="shared" ca="1" si="410"/>
        <v>49.510127370143636</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-0.11368170123100008</v>
      </c>
      <c r="AH944" s="304">
        <f t="shared" ca="1" si="434"/>
        <v>-9.9158987110110335</v>
      </c>
    </row>
    <row r="945" spans="1:34" x14ac:dyDescent="0.2">
      <c r="A945" s="347">
        <f t="shared" ca="1" si="412"/>
        <v>1E-4</v>
      </c>
      <c r="B945" s="304">
        <f t="shared" ca="1" si="413"/>
        <v>43.914200000000783</v>
      </c>
      <c r="D945" s="306">
        <f t="shared" ca="1" si="414"/>
        <v>-0.3949082821633893</v>
      </c>
      <c r="E945" s="307">
        <f t="shared" ca="1" si="415"/>
        <v>9.8040868581570351E-2</v>
      </c>
      <c r="F945" s="304">
        <f t="shared" ca="1" si="416"/>
        <v>0.40689625610647717</v>
      </c>
      <c r="G945" s="306">
        <f t="shared" ca="1" si="417"/>
        <v>4.4433778104080197</v>
      </c>
      <c r="H945" s="307">
        <f t="shared" ca="1" si="418"/>
        <v>-111.48299069321845</v>
      </c>
      <c r="I945" s="304">
        <f t="shared" ca="1" si="419"/>
        <v>111.57150541365954</v>
      </c>
      <c r="J945" s="306">
        <f t="shared" ca="1" si="420"/>
        <v>928.20926186620727</v>
      </c>
      <c r="K945" s="307">
        <f t="shared" ca="1" si="421"/>
        <v>-7.1229464877529169</v>
      </c>
      <c r="L945" s="304">
        <f t="shared" ca="1" si="406"/>
        <v>928.23659170541043</v>
      </c>
      <c r="M945" s="306">
        <f t="shared" ca="1" si="422"/>
        <v>-1.5309604098094269</v>
      </c>
      <c r="N945" s="304">
        <f t="shared" ca="1" si="423"/>
        <v>-87.717570083699087</v>
      </c>
      <c r="P945" s="310">
        <f t="shared" ca="1" si="424"/>
        <v>23</v>
      </c>
      <c r="Q945" s="304">
        <f t="shared" ca="1" si="425"/>
        <v>0</v>
      </c>
      <c r="R945" s="306">
        <f t="shared" ca="1" si="426"/>
        <v>0</v>
      </c>
      <c r="S945" s="307">
        <f t="shared" ca="1" si="427"/>
        <v>4.9929999999999914</v>
      </c>
      <c r="T945" s="304">
        <f t="shared" ca="1" si="407"/>
        <v>48.981329999999922</v>
      </c>
      <c r="U945" s="311">
        <f t="shared" ca="1" si="408"/>
        <v>0</v>
      </c>
      <c r="V945" s="306">
        <f t="shared" ca="1" si="409"/>
        <v>1.2258728718157117</v>
      </c>
      <c r="W945" s="304">
        <f t="shared" ca="1" si="410"/>
        <v>49.510172475454873</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-0.11369059828150441</v>
      </c>
      <c r="AH945" s="304">
        <f t="shared" ca="1" si="434"/>
        <v>-9.9159077448715642</v>
      </c>
    </row>
    <row r="946" spans="1:34" x14ac:dyDescent="0.2">
      <c r="A946" s="347">
        <f t="shared" ca="1" si="412"/>
        <v>1E-4</v>
      </c>
      <c r="B946" s="304">
        <f t="shared" ca="1" si="413"/>
        <v>43.914300000000786</v>
      </c>
      <c r="D946" s="306">
        <f t="shared" ca="1" si="414"/>
        <v>-0.39490517243128731</v>
      </c>
      <c r="E946" s="307">
        <f t="shared" ca="1" si="415"/>
        <v>9.8050033408759063E-2</v>
      </c>
      <c r="F946" s="304">
        <f t="shared" ca="1" si="416"/>
        <v>0.40689544635501085</v>
      </c>
      <c r="G946" s="306">
        <f t="shared" ca="1" si="417"/>
        <v>4.4433383198907768</v>
      </c>
      <c r="H946" s="307">
        <f t="shared" ca="1" si="418"/>
        <v>-111.48298088821511</v>
      </c>
      <c r="I946" s="304">
        <f t="shared" ca="1" si="419"/>
        <v>111.57149404371685</v>
      </c>
      <c r="J946" s="306">
        <f t="shared" ca="1" si="420"/>
        <v>928.20926186620727</v>
      </c>
      <c r="K946" s="307">
        <f t="shared" ca="1" si="421"/>
        <v>-7.134094786331989</v>
      </c>
      <c r="L946" s="304">
        <f t="shared" ca="1" si="406"/>
        <v>928.23667732029946</v>
      </c>
      <c r="M946" s="306">
        <f t="shared" ca="1" si="422"/>
        <v>-1.5309607599768238</v>
      </c>
      <c r="N946" s="304">
        <f t="shared" ca="1" si="423"/>
        <v>-87.717590146813038</v>
      </c>
      <c r="P946" s="310">
        <f t="shared" ca="1" si="424"/>
        <v>23</v>
      </c>
      <c r="Q946" s="304">
        <f t="shared" ca="1" si="425"/>
        <v>0</v>
      </c>
      <c r="R946" s="306">
        <f t="shared" ca="1" si="426"/>
        <v>0</v>
      </c>
      <c r="S946" s="307">
        <f t="shared" ca="1" si="427"/>
        <v>4.9929999999999914</v>
      </c>
      <c r="T946" s="304">
        <f t="shared" ca="1" si="407"/>
        <v>48.981329999999922</v>
      </c>
      <c r="U946" s="311">
        <f t="shared" ca="1" si="408"/>
        <v>0</v>
      </c>
      <c r="V946" s="306">
        <f t="shared" ca="1" si="409"/>
        <v>1.2258742384563264</v>
      </c>
      <c r="W946" s="304">
        <f t="shared" ca="1" si="410"/>
        <v>49.510217580011719</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-0.11369949518330813</v>
      </c>
      <c r="AH946" s="304">
        <f t="shared" ca="1" si="434"/>
        <v>-9.9159167785810052</v>
      </c>
    </row>
    <row r="947" spans="1:34" x14ac:dyDescent="0.2">
      <c r="A947" s="347">
        <f t="shared" ca="1" si="412"/>
        <v>1E-4</v>
      </c>
      <c r="B947" s="304">
        <f t="shared" ca="1" si="413"/>
        <v>43.914400000000789</v>
      </c>
      <c r="D947" s="306">
        <f t="shared" ca="1" si="414"/>
        <v>-0.3949020627169253</v>
      </c>
      <c r="E947" s="307">
        <f t="shared" ca="1" si="415"/>
        <v>9.8059198082813381E-2</v>
      </c>
      <c r="F947" s="304">
        <f t="shared" ca="1" si="416"/>
        <v>0.40689463681243926</v>
      </c>
      <c r="G947" s="306">
        <f t="shared" ca="1" si="417"/>
        <v>4.4432988296845055</v>
      </c>
      <c r="H947" s="307">
        <f t="shared" ca="1" si="418"/>
        <v>-111.48297108229531</v>
      </c>
      <c r="I947" s="304">
        <f t="shared" ca="1" si="419"/>
        <v>111.5714826728845</v>
      </c>
      <c r="J947" s="306">
        <f t="shared" ca="1" si="420"/>
        <v>928.20926186620727</v>
      </c>
      <c r="K947" s="307">
        <f t="shared" ca="1" si="421"/>
        <v>-7.1452430839305148</v>
      </c>
      <c r="L947" s="304">
        <f t="shared" ca="1" si="406"/>
        <v>928.23676306906623</v>
      </c>
      <c r="M947" s="306">
        <f t="shared" ca="1" si="422"/>
        <v>-1.53096111014118</v>
      </c>
      <c r="N947" s="304">
        <f t="shared" ca="1" si="423"/>
        <v>-87.717610209752792</v>
      </c>
      <c r="P947" s="310">
        <f t="shared" ca="1" si="424"/>
        <v>23</v>
      </c>
      <c r="Q947" s="304">
        <f t="shared" ca="1" si="425"/>
        <v>0</v>
      </c>
      <c r="R947" s="306">
        <f t="shared" ca="1" si="426"/>
        <v>0</v>
      </c>
      <c r="S947" s="307">
        <f t="shared" ca="1" si="427"/>
        <v>4.9929999999999914</v>
      </c>
      <c r="T947" s="304">
        <f t="shared" ca="1" si="407"/>
        <v>48.981329999999922</v>
      </c>
      <c r="U947" s="311">
        <f t="shared" ca="1" si="408"/>
        <v>0</v>
      </c>
      <c r="V947" s="306">
        <f t="shared" ca="1" si="409"/>
        <v>1.2258756050983453</v>
      </c>
      <c r="W947" s="304">
        <f t="shared" ca="1" si="410"/>
        <v>49.510262683814219</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-0.11370839193641302</v>
      </c>
      <c r="AH947" s="304">
        <f t="shared" ca="1" si="434"/>
        <v>-9.9159258121393563</v>
      </c>
    </row>
    <row r="948" spans="1:34" x14ac:dyDescent="0.2">
      <c r="A948" s="347">
        <f t="shared" ca="1" si="412"/>
        <v>1E-4</v>
      </c>
      <c r="B948" s="304">
        <f t="shared" ca="1" si="413"/>
        <v>43.914500000000793</v>
      </c>
      <c r="D948" s="306">
        <f t="shared" ca="1" si="414"/>
        <v>-0.39489895302030387</v>
      </c>
      <c r="E948" s="307">
        <f t="shared" ca="1" si="415"/>
        <v>9.8068362603743964E-2</v>
      </c>
      <c r="F948" s="304">
        <f t="shared" ca="1" si="416"/>
        <v>0.40689382747875585</v>
      </c>
      <c r="G948" s="306">
        <f t="shared" ca="1" si="417"/>
        <v>4.4432593397892033</v>
      </c>
      <c r="H948" s="307">
        <f t="shared" ca="1" si="418"/>
        <v>-111.48296127545905</v>
      </c>
      <c r="I948" s="304">
        <f t="shared" ca="1" si="419"/>
        <v>111.57147130116249</v>
      </c>
      <c r="J948" s="306">
        <f t="shared" ca="1" si="420"/>
        <v>928.20926186620727</v>
      </c>
      <c r="K948" s="307">
        <f t="shared" ca="1" si="421"/>
        <v>-7.1563913805484027</v>
      </c>
      <c r="L948" s="304">
        <f t="shared" ca="1" si="406"/>
        <v>928.23684895171073</v>
      </c>
      <c r="M948" s="306">
        <f t="shared" ca="1" si="422"/>
        <v>-1.5309614603024952</v>
      </c>
      <c r="N948" s="304">
        <f t="shared" ca="1" si="423"/>
        <v>-87.717630272518306</v>
      </c>
      <c r="P948" s="310">
        <f t="shared" ca="1" si="424"/>
        <v>23</v>
      </c>
      <c r="Q948" s="304">
        <f t="shared" ca="1" si="425"/>
        <v>0</v>
      </c>
      <c r="R948" s="306">
        <f t="shared" ca="1" si="426"/>
        <v>0</v>
      </c>
      <c r="S948" s="307">
        <f t="shared" ca="1" si="427"/>
        <v>4.9929999999999914</v>
      </c>
      <c r="T948" s="304">
        <f t="shared" ca="1" si="407"/>
        <v>48.981329999999922</v>
      </c>
      <c r="U948" s="311">
        <f t="shared" ca="1" si="408"/>
        <v>0</v>
      </c>
      <c r="V948" s="306">
        <f t="shared" ca="1" si="409"/>
        <v>1.2258769717417679</v>
      </c>
      <c r="W948" s="304">
        <f t="shared" ca="1" si="410"/>
        <v>49.510307786862377</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-0.11371728854082441</v>
      </c>
      <c r="AH948" s="304">
        <f t="shared" ca="1" si="434"/>
        <v>-9.9159348455466265</v>
      </c>
    </row>
    <row r="949" spans="1:34" x14ac:dyDescent="0.2">
      <c r="A949" s="347">
        <f t="shared" ca="1" si="412"/>
        <v>1E-4</v>
      </c>
      <c r="B949" s="304">
        <f t="shared" ca="1" si="413"/>
        <v>43.914600000000796</v>
      </c>
      <c r="D949" s="306">
        <f t="shared" ca="1" si="414"/>
        <v>-0.39489584334142552</v>
      </c>
      <c r="E949" s="307">
        <f t="shared" ca="1" si="415"/>
        <v>9.807752697155081E-2</v>
      </c>
      <c r="F949" s="304">
        <f t="shared" ca="1" si="416"/>
        <v>0.40689301835395375</v>
      </c>
      <c r="G949" s="306">
        <f t="shared" ca="1" si="417"/>
        <v>4.4432198502048692</v>
      </c>
      <c r="H949" s="307">
        <f t="shared" ca="1" si="418"/>
        <v>-111.48295146770634</v>
      </c>
      <c r="I949" s="304">
        <f t="shared" ca="1" si="419"/>
        <v>111.57145992855082</v>
      </c>
      <c r="J949" s="306">
        <f t="shared" ca="1" si="420"/>
        <v>928.20926186620727</v>
      </c>
      <c r="K949" s="307">
        <f t="shared" ca="1" si="421"/>
        <v>-7.1675396761855614</v>
      </c>
      <c r="L949" s="304">
        <f t="shared" ca="1" si="406"/>
        <v>928.23693496823262</v>
      </c>
      <c r="M949" s="306">
        <f t="shared" ca="1" si="422"/>
        <v>-1.5309618104607698</v>
      </c>
      <c r="N949" s="304">
        <f t="shared" ca="1" si="423"/>
        <v>-87.717650335109596</v>
      </c>
      <c r="P949" s="310">
        <f t="shared" ca="1" si="424"/>
        <v>23</v>
      </c>
      <c r="Q949" s="304">
        <f t="shared" ca="1" si="425"/>
        <v>0</v>
      </c>
      <c r="R949" s="306">
        <f t="shared" ca="1" si="426"/>
        <v>0</v>
      </c>
      <c r="S949" s="307">
        <f t="shared" ca="1" si="427"/>
        <v>4.9929999999999914</v>
      </c>
      <c r="T949" s="304">
        <f t="shared" ca="1" si="407"/>
        <v>48.981329999999922</v>
      </c>
      <c r="U949" s="311">
        <f t="shared" ca="1" si="408"/>
        <v>0</v>
      </c>
      <c r="V949" s="306">
        <f t="shared" ca="1" si="409"/>
        <v>1.2258783383865945</v>
      </c>
      <c r="W949" s="304">
        <f t="shared" ca="1" si="410"/>
        <v>49.510352889156167</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-0.11372618499654763</v>
      </c>
      <c r="AH949" s="304">
        <f t="shared" ca="1" si="434"/>
        <v>-9.9159438788028158</v>
      </c>
    </row>
    <row r="950" spans="1:34" x14ac:dyDescent="0.2">
      <c r="A950" s="347">
        <f t="shared" ca="1" si="412"/>
        <v>1E-4</v>
      </c>
      <c r="B950" s="304">
        <f t="shared" ca="1" si="413"/>
        <v>43.914700000000799</v>
      </c>
      <c r="D950" s="306">
        <f t="shared" ca="1" si="414"/>
        <v>-0.39489273368028804</v>
      </c>
      <c r="E950" s="307">
        <f t="shared" ca="1" si="415"/>
        <v>9.8086691186228592E-2</v>
      </c>
      <c r="F950" s="304">
        <f t="shared" ca="1" si="416"/>
        <v>0.4068922094380199</v>
      </c>
      <c r="G950" s="306">
        <f t="shared" ca="1" si="417"/>
        <v>4.4431803609315015</v>
      </c>
      <c r="H950" s="307">
        <f t="shared" ca="1" si="418"/>
        <v>-111.48294165903722</v>
      </c>
      <c r="I950" s="304">
        <f t="shared" ca="1" si="419"/>
        <v>111.57144855504953</v>
      </c>
      <c r="J950" s="306">
        <f t="shared" ca="1" si="420"/>
        <v>928.20926186620727</v>
      </c>
      <c r="K950" s="307">
        <f t="shared" ca="1" si="421"/>
        <v>-7.1786879708418985</v>
      </c>
      <c r="L950" s="304">
        <f t="shared" ca="1" si="406"/>
        <v>928.23702111863213</v>
      </c>
      <c r="M950" s="306">
        <f t="shared" ca="1" si="422"/>
        <v>-1.530962160616004</v>
      </c>
      <c r="N950" s="304">
        <f t="shared" ca="1" si="423"/>
        <v>-87.717670397526689</v>
      </c>
      <c r="P950" s="310">
        <f t="shared" ca="1" si="424"/>
        <v>23</v>
      </c>
      <c r="Q950" s="304">
        <f t="shared" ca="1" si="425"/>
        <v>0</v>
      </c>
      <c r="R950" s="306">
        <f t="shared" ca="1" si="426"/>
        <v>0</v>
      </c>
      <c r="S950" s="307">
        <f t="shared" ca="1" si="427"/>
        <v>4.9929999999999914</v>
      </c>
      <c r="T950" s="304">
        <f t="shared" ca="1" si="407"/>
        <v>48.981329999999922</v>
      </c>
      <c r="U950" s="311">
        <f t="shared" ca="1" si="408"/>
        <v>0</v>
      </c>
      <c r="V950" s="306">
        <f t="shared" ca="1" si="409"/>
        <v>1.225879705032825</v>
      </c>
      <c r="W950" s="304">
        <f t="shared" ca="1" si="410"/>
        <v>49.51039799069563</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-0.11373508130357379</v>
      </c>
      <c r="AH950" s="304">
        <f t="shared" ca="1" si="434"/>
        <v>-9.9159529119079206</v>
      </c>
    </row>
    <row r="951" spans="1:34" x14ac:dyDescent="0.2">
      <c r="A951" s="347">
        <f t="shared" ca="1" si="412"/>
        <v>1E-4</v>
      </c>
      <c r="B951" s="304">
        <f t="shared" ca="1" si="413"/>
        <v>43.914800000000803</v>
      </c>
      <c r="D951" s="306">
        <f t="shared" ca="1" si="414"/>
        <v>-0.39488962403688999</v>
      </c>
      <c r="E951" s="307">
        <f t="shared" ca="1" si="415"/>
        <v>9.8095855247787966E-2</v>
      </c>
      <c r="F951" s="304">
        <f t="shared" ca="1" si="416"/>
        <v>0.40689140073094604</v>
      </c>
      <c r="G951" s="306">
        <f t="shared" ca="1" si="417"/>
        <v>4.4431408719690975</v>
      </c>
      <c r="H951" s="307">
        <f t="shared" ca="1" si="418"/>
        <v>-111.4829318494517</v>
      </c>
      <c r="I951" s="304">
        <f t="shared" ca="1" si="419"/>
        <v>111.57143718065863</v>
      </c>
      <c r="J951" s="306">
        <f t="shared" ca="1" si="420"/>
        <v>928.20926186620727</v>
      </c>
      <c r="K951" s="307">
        <f t="shared" ca="1" si="421"/>
        <v>-7.1898362645173233</v>
      </c>
      <c r="L951" s="304">
        <f t="shared" ca="1" si="406"/>
        <v>928.23710740290915</v>
      </c>
      <c r="M951" s="306">
        <f t="shared" ca="1" si="422"/>
        <v>-1.5309625107681974</v>
      </c>
      <c r="N951" s="304">
        <f t="shared" ca="1" si="423"/>
        <v>-87.717690459769557</v>
      </c>
      <c r="P951" s="310">
        <f t="shared" ca="1" si="424"/>
        <v>23</v>
      </c>
      <c r="Q951" s="304">
        <f t="shared" ca="1" si="425"/>
        <v>0</v>
      </c>
      <c r="R951" s="306">
        <f t="shared" ca="1" si="426"/>
        <v>0</v>
      </c>
      <c r="S951" s="307">
        <f t="shared" ca="1" si="427"/>
        <v>4.9929999999999914</v>
      </c>
      <c r="T951" s="304">
        <f t="shared" ca="1" si="407"/>
        <v>48.981329999999922</v>
      </c>
      <c r="U951" s="311">
        <f t="shared" ca="1" si="408"/>
        <v>0</v>
      </c>
      <c r="V951" s="306">
        <f t="shared" ca="1" si="409"/>
        <v>1.2258810716804596</v>
      </c>
      <c r="W951" s="304">
        <f t="shared" ca="1" si="410"/>
        <v>49.510443091480802</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-0.11374397746191356</v>
      </c>
      <c r="AH951" s="304">
        <f t="shared" ca="1" si="434"/>
        <v>-9.9159619448619498</v>
      </c>
    </row>
    <row r="952" spans="1:34" x14ac:dyDescent="0.2">
      <c r="A952" s="347">
        <f t="shared" ca="1" si="412"/>
        <v>1E-4</v>
      </c>
      <c r="B952" s="304">
        <f t="shared" ca="1" si="413"/>
        <v>43.914900000000806</v>
      </c>
      <c r="D952" s="306">
        <f t="shared" ca="1" si="414"/>
        <v>-0.39488651441123385</v>
      </c>
      <c r="E952" s="307">
        <f t="shared" ca="1" si="415"/>
        <v>9.8105019156230711E-2</v>
      </c>
      <c r="F952" s="304">
        <f t="shared" ca="1" si="416"/>
        <v>0.40689059223272539</v>
      </c>
      <c r="G952" s="306">
        <f t="shared" ca="1" si="417"/>
        <v>4.4431013833176562</v>
      </c>
      <c r="H952" s="307">
        <f t="shared" ca="1" si="418"/>
        <v>-111.48292203894978</v>
      </c>
      <c r="I952" s="304">
        <f t="shared" ca="1" si="419"/>
        <v>111.57142580537811</v>
      </c>
      <c r="J952" s="306">
        <f t="shared" ca="1" si="420"/>
        <v>928.20926186620727</v>
      </c>
      <c r="K952" s="307">
        <f t="shared" ca="1" si="421"/>
        <v>-7.2009845572117435</v>
      </c>
      <c r="L952" s="304">
        <f t="shared" ca="1" si="406"/>
        <v>928.23719382106344</v>
      </c>
      <c r="M952" s="306">
        <f t="shared" ca="1" si="422"/>
        <v>-1.5309628609173502</v>
      </c>
      <c r="N952" s="304">
        <f t="shared" ca="1" si="423"/>
        <v>-87.717710521838214</v>
      </c>
      <c r="P952" s="310">
        <f t="shared" ca="1" si="424"/>
        <v>23</v>
      </c>
      <c r="Q952" s="304">
        <f t="shared" ca="1" si="425"/>
        <v>0</v>
      </c>
      <c r="R952" s="306">
        <f t="shared" ca="1" si="426"/>
        <v>0</v>
      </c>
      <c r="S952" s="307">
        <f t="shared" ca="1" si="427"/>
        <v>4.9929999999999914</v>
      </c>
      <c r="T952" s="304">
        <f t="shared" ca="1" si="407"/>
        <v>48.981329999999922</v>
      </c>
      <c r="U952" s="311">
        <f t="shared" ca="1" si="408"/>
        <v>0</v>
      </c>
      <c r="V952" s="306">
        <f t="shared" ca="1" si="409"/>
        <v>1.2258824383294975</v>
      </c>
      <c r="W952" s="304">
        <f t="shared" ca="1" si="410"/>
        <v>49.510488191511612</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-0.11375287347157403</v>
      </c>
      <c r="AH952" s="304">
        <f t="shared" ca="1" si="434"/>
        <v>-9.9159709776649088</v>
      </c>
    </row>
    <row r="953" spans="1:34" x14ac:dyDescent="0.2">
      <c r="A953" s="347">
        <f t="shared" ca="1" si="412"/>
        <v>1E-4</v>
      </c>
      <c r="B953" s="304">
        <f t="shared" ca="1" si="413"/>
        <v>43.915000000000809</v>
      </c>
      <c r="D953" s="306">
        <f t="shared" ca="1" si="414"/>
        <v>-0.39488340480331935</v>
      </c>
      <c r="E953" s="307">
        <f t="shared" ca="1" si="415"/>
        <v>9.8114182911547942E-2</v>
      </c>
      <c r="F953" s="304">
        <f t="shared" ca="1" si="416"/>
        <v>0.40688978394334613</v>
      </c>
      <c r="G953" s="306">
        <f t="shared" ca="1" si="417"/>
        <v>4.4430618949771761</v>
      </c>
      <c r="H953" s="307">
        <f t="shared" ca="1" si="418"/>
        <v>-111.48291222753149</v>
      </c>
      <c r="I953" s="304">
        <f t="shared" ca="1" si="419"/>
        <v>111.57141442920802</v>
      </c>
      <c r="J953" s="306">
        <f t="shared" ca="1" si="420"/>
        <v>928.20926186620727</v>
      </c>
      <c r="K953" s="307">
        <f t="shared" ca="1" si="421"/>
        <v>-7.2121328489250676</v>
      </c>
      <c r="L953" s="304">
        <f t="shared" ca="1" si="406"/>
        <v>928.23728037309502</v>
      </c>
      <c r="M953" s="306">
        <f t="shared" ca="1" si="422"/>
        <v>-1.5309632110634623</v>
      </c>
      <c r="N953" s="304">
        <f t="shared" ca="1" si="423"/>
        <v>-87.71773058373266</v>
      </c>
      <c r="P953" s="310">
        <f t="shared" ca="1" si="424"/>
        <v>23</v>
      </c>
      <c r="Q953" s="304">
        <f t="shared" ca="1" si="425"/>
        <v>0</v>
      </c>
      <c r="R953" s="306">
        <f t="shared" ca="1" si="426"/>
        <v>0</v>
      </c>
      <c r="S953" s="307">
        <f t="shared" ca="1" si="427"/>
        <v>4.9929999999999914</v>
      </c>
      <c r="T953" s="304">
        <f t="shared" ca="1" si="407"/>
        <v>48.981329999999922</v>
      </c>
      <c r="U953" s="311">
        <f t="shared" ca="1" si="408"/>
        <v>0</v>
      </c>
      <c r="V953" s="306">
        <f t="shared" ca="1" si="409"/>
        <v>1.2258838049799399</v>
      </c>
      <c r="W953" s="304">
        <f t="shared" ca="1" si="410"/>
        <v>49.510533290788153</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-0.11376176933253923</v>
      </c>
      <c r="AH953" s="304">
        <f t="shared" ca="1" si="434"/>
        <v>-9.9159800103167832</v>
      </c>
    </row>
    <row r="954" spans="1:34" x14ac:dyDescent="0.2">
      <c r="A954" s="347">
        <f t="shared" ca="1" si="412"/>
        <v>1E-4</v>
      </c>
      <c r="B954" s="304">
        <f t="shared" ca="1" si="413"/>
        <v>43.915100000000812</v>
      </c>
      <c r="D954" s="306">
        <f t="shared" ca="1" si="414"/>
        <v>-0.39488029521314755</v>
      </c>
      <c r="E954" s="307">
        <f t="shared" ca="1" si="415"/>
        <v>9.8123346513753873E-2</v>
      </c>
      <c r="F954" s="304">
        <f t="shared" ca="1" si="416"/>
        <v>0.40688897586280309</v>
      </c>
      <c r="G954" s="306">
        <f t="shared" ca="1" si="417"/>
        <v>4.4430224069476552</v>
      </c>
      <c r="H954" s="307">
        <f t="shared" ca="1" si="418"/>
        <v>-111.48290241519683</v>
      </c>
      <c r="I954" s="304">
        <f t="shared" ca="1" si="419"/>
        <v>111.57140305214836</v>
      </c>
      <c r="J954" s="306">
        <f t="shared" ca="1" si="420"/>
        <v>928.20926186620727</v>
      </c>
      <c r="K954" s="307">
        <f t="shared" ca="1" si="421"/>
        <v>-7.2232811396572041</v>
      </c>
      <c r="L954" s="304">
        <f t="shared" ca="1" si="406"/>
        <v>928.23736705900387</v>
      </c>
      <c r="M954" s="306">
        <f t="shared" ca="1" si="422"/>
        <v>-1.530963561206534</v>
      </c>
      <c r="N954" s="304">
        <f t="shared" ca="1" si="423"/>
        <v>-87.717750645452881</v>
      </c>
      <c r="P954" s="310">
        <f t="shared" ca="1" si="424"/>
        <v>23</v>
      </c>
      <c r="Q954" s="304">
        <f t="shared" ca="1" si="425"/>
        <v>0</v>
      </c>
      <c r="R954" s="306">
        <f t="shared" ca="1" si="426"/>
        <v>0</v>
      </c>
      <c r="S954" s="307">
        <f t="shared" ca="1" si="427"/>
        <v>4.9929999999999914</v>
      </c>
      <c r="T954" s="304">
        <f t="shared" ca="1" si="407"/>
        <v>48.981329999999922</v>
      </c>
      <c r="U954" s="311">
        <f t="shared" ca="1" si="408"/>
        <v>0</v>
      </c>
      <c r="V954" s="306">
        <f t="shared" ca="1" si="409"/>
        <v>1.2258851716317858</v>
      </c>
      <c r="W954" s="304">
        <f t="shared" ca="1" si="410"/>
        <v>49.510578389310403</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-0.11377066504483047</v>
      </c>
      <c r="AH954" s="304">
        <f t="shared" ca="1" si="434"/>
        <v>-9.9159890428175927</v>
      </c>
    </row>
    <row r="955" spans="1:34" x14ac:dyDescent="0.2">
      <c r="A955" s="347">
        <f t="shared" ca="1" si="412"/>
        <v>1E-4</v>
      </c>
      <c r="B955" s="304">
        <f t="shared" ca="1" si="413"/>
        <v>43.915200000000816</v>
      </c>
      <c r="D955" s="306">
        <f t="shared" ca="1" si="414"/>
        <v>-0.39487718564071633</v>
      </c>
      <c r="E955" s="307">
        <f t="shared" ca="1" si="415"/>
        <v>9.8132509962848502E-2</v>
      </c>
      <c r="F955" s="304">
        <f t="shared" ca="1" si="416"/>
        <v>0.4068881679910849</v>
      </c>
      <c r="G955" s="306">
        <f t="shared" ca="1" si="417"/>
        <v>4.4429829192290908</v>
      </c>
      <c r="H955" s="307">
        <f t="shared" ca="1" si="418"/>
        <v>-111.48289260194584</v>
      </c>
      <c r="I955" s="304">
        <f t="shared" ca="1" si="419"/>
        <v>111.57139167419913</v>
      </c>
      <c r="J955" s="306">
        <f t="shared" ca="1" si="420"/>
        <v>928.20926186620727</v>
      </c>
      <c r="K955" s="307">
        <f t="shared" ca="1" si="421"/>
        <v>-7.2344294294080616</v>
      </c>
      <c r="L955" s="304">
        <f t="shared" ca="1" si="406"/>
        <v>928.23745387878978</v>
      </c>
      <c r="M955" s="306">
        <f t="shared" ca="1" si="422"/>
        <v>-1.5309639113465652</v>
      </c>
      <c r="N955" s="304">
        <f t="shared" ca="1" si="423"/>
        <v>-87.717770706998905</v>
      </c>
      <c r="P955" s="310">
        <f t="shared" ca="1" si="424"/>
        <v>23</v>
      </c>
      <c r="Q955" s="304">
        <f t="shared" ca="1" si="425"/>
        <v>0</v>
      </c>
      <c r="R955" s="306">
        <f t="shared" ca="1" si="426"/>
        <v>0</v>
      </c>
      <c r="S955" s="307">
        <f t="shared" ca="1" si="427"/>
        <v>4.9929999999999914</v>
      </c>
      <c r="T955" s="304">
        <f t="shared" ca="1" si="407"/>
        <v>48.981329999999922</v>
      </c>
      <c r="U955" s="311">
        <f t="shared" ca="1" si="408"/>
        <v>0</v>
      </c>
      <c r="V955" s="306">
        <f t="shared" ca="1" si="409"/>
        <v>1.2258865382850357</v>
      </c>
      <c r="W955" s="304">
        <f t="shared" ca="1" si="410"/>
        <v>49.510623487078369</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-0.11377956060843886</v>
      </c>
      <c r="AH955" s="304">
        <f t="shared" ca="1" si="434"/>
        <v>-9.915998075167332</v>
      </c>
    </row>
    <row r="956" spans="1:34" x14ac:dyDescent="0.2">
      <c r="A956" s="347">
        <f t="shared" ca="1" si="412"/>
        <v>1E-4</v>
      </c>
      <c r="B956" s="304">
        <f t="shared" ca="1" si="413"/>
        <v>43.915300000000819</v>
      </c>
      <c r="D956" s="306">
        <f t="shared" ca="1" si="414"/>
        <v>-0.39487407608602582</v>
      </c>
      <c r="E956" s="307">
        <f t="shared" ca="1" si="415"/>
        <v>9.8141673258830053E-2</v>
      </c>
      <c r="F956" s="304">
        <f t="shared" ca="1" si="416"/>
        <v>0.40688736032818157</v>
      </c>
      <c r="G956" s="306">
        <f t="shared" ca="1" si="417"/>
        <v>4.4429434318214822</v>
      </c>
      <c r="H956" s="307">
        <f t="shared" ca="1" si="418"/>
        <v>-111.48288278777851</v>
      </c>
      <c r="I956" s="304">
        <f t="shared" ca="1" si="419"/>
        <v>111.57138029536037</v>
      </c>
      <c r="J956" s="306">
        <f t="shared" ca="1" si="420"/>
        <v>928.20926186620727</v>
      </c>
      <c r="K956" s="307">
        <f t="shared" ca="1" si="421"/>
        <v>-7.2455777181775476</v>
      </c>
      <c r="L956" s="304">
        <f t="shared" ca="1" si="406"/>
        <v>928.23754083245274</v>
      </c>
      <c r="M956" s="306">
        <f t="shared" ca="1" si="422"/>
        <v>-1.5309642614835559</v>
      </c>
      <c r="N956" s="304">
        <f t="shared" ca="1" si="423"/>
        <v>-87.717790768370733</v>
      </c>
      <c r="P956" s="310">
        <f t="shared" ca="1" si="424"/>
        <v>23</v>
      </c>
      <c r="Q956" s="304">
        <f t="shared" ca="1" si="425"/>
        <v>0</v>
      </c>
      <c r="R956" s="306">
        <f t="shared" ca="1" si="426"/>
        <v>0</v>
      </c>
      <c r="S956" s="307">
        <f t="shared" ca="1" si="427"/>
        <v>4.9929999999999914</v>
      </c>
      <c r="T956" s="304">
        <f t="shared" ca="1" si="407"/>
        <v>48.981329999999922</v>
      </c>
      <c r="U956" s="311">
        <f t="shared" ca="1" si="408"/>
        <v>0</v>
      </c>
      <c r="V956" s="306">
        <f t="shared" ca="1" si="409"/>
        <v>1.2258879049396891</v>
      </c>
      <c r="W956" s="304">
        <f t="shared" ca="1" si="410"/>
        <v>49.510668584092066</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-0.11378845602336973</v>
      </c>
      <c r="AH956" s="304">
        <f t="shared" ca="1" si="434"/>
        <v>-9.9160071073660028</v>
      </c>
    </row>
    <row r="957" spans="1:34" x14ac:dyDescent="0.2">
      <c r="A957" s="347">
        <f t="shared" ca="1" si="412"/>
        <v>1E-4</v>
      </c>
      <c r="B957" s="304">
        <f t="shared" ca="1" si="413"/>
        <v>43.915400000000822</v>
      </c>
      <c r="D957" s="306">
        <f t="shared" ca="1" si="414"/>
        <v>-0.3948709665490765</v>
      </c>
      <c r="E957" s="307">
        <f t="shared" ca="1" si="415"/>
        <v>9.815083640170208E-2</v>
      </c>
      <c r="F957" s="304">
        <f t="shared" ca="1" si="416"/>
        <v>0.40688655287408504</v>
      </c>
      <c r="G957" s="306">
        <f t="shared" ca="1" si="417"/>
        <v>4.4429039447248275</v>
      </c>
      <c r="H957" s="307">
        <f t="shared" ca="1" si="418"/>
        <v>-111.48287297269486</v>
      </c>
      <c r="I957" s="304">
        <f t="shared" ca="1" si="419"/>
        <v>111.57136891563206</v>
      </c>
      <c r="J957" s="306">
        <f t="shared" ca="1" si="420"/>
        <v>928.20926186620727</v>
      </c>
      <c r="K957" s="307">
        <f t="shared" ca="1" si="421"/>
        <v>-7.2567260059655716</v>
      </c>
      <c r="L957" s="304">
        <f t="shared" ca="1" si="406"/>
        <v>928.23762791999275</v>
      </c>
      <c r="M957" s="306">
        <f t="shared" ca="1" si="422"/>
        <v>-1.5309646116175062</v>
      </c>
      <c r="N957" s="304">
        <f t="shared" ca="1" si="423"/>
        <v>-87.71781082956835</v>
      </c>
      <c r="P957" s="310">
        <f t="shared" ca="1" si="424"/>
        <v>23</v>
      </c>
      <c r="Q957" s="304">
        <f t="shared" ca="1" si="425"/>
        <v>0</v>
      </c>
      <c r="R957" s="306">
        <f t="shared" ca="1" si="426"/>
        <v>0</v>
      </c>
      <c r="S957" s="307">
        <f t="shared" ca="1" si="427"/>
        <v>4.9929999999999914</v>
      </c>
      <c r="T957" s="304">
        <f t="shared" ca="1" si="407"/>
        <v>48.981329999999922</v>
      </c>
      <c r="U957" s="311">
        <f t="shared" ca="1" si="408"/>
        <v>0</v>
      </c>
      <c r="V957" s="306">
        <f t="shared" ca="1" si="409"/>
        <v>1.2258892715957466</v>
      </c>
      <c r="W957" s="304">
        <f t="shared" ca="1" si="410"/>
        <v>49.510713680351486</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-0.11379735128962665</v>
      </c>
      <c r="AH957" s="304">
        <f t="shared" ca="1" si="434"/>
        <v>-9.9160161394136086</v>
      </c>
    </row>
    <row r="958" spans="1:34" x14ac:dyDescent="0.2">
      <c r="A958" s="347">
        <f t="shared" ca="1" si="412"/>
        <v>1E-4</v>
      </c>
      <c r="B958" s="304">
        <f t="shared" ca="1" si="413"/>
        <v>43.915500000000826</v>
      </c>
      <c r="D958" s="306">
        <f t="shared" ca="1" si="414"/>
        <v>-0.39486785702986865</v>
      </c>
      <c r="E958" s="307">
        <f t="shared" ca="1" si="415"/>
        <v>9.8159999391464581E-2</v>
      </c>
      <c r="F958" s="304">
        <f t="shared" ca="1" si="416"/>
        <v>0.40688574562878599</v>
      </c>
      <c r="G958" s="306">
        <f t="shared" ca="1" si="417"/>
        <v>4.4428644579391241</v>
      </c>
      <c r="H958" s="307">
        <f t="shared" ca="1" si="418"/>
        <v>-111.48286315669492</v>
      </c>
      <c r="I958" s="304">
        <f t="shared" ca="1" si="419"/>
        <v>111.57135753501426</v>
      </c>
      <c r="J958" s="306">
        <f t="shared" ca="1" si="420"/>
        <v>928.20926186620727</v>
      </c>
      <c r="K958" s="307">
        <f t="shared" ca="1" si="421"/>
        <v>-7.2678742927720412</v>
      </c>
      <c r="L958" s="304">
        <f t="shared" ca="1" si="406"/>
        <v>928.23771514140969</v>
      </c>
      <c r="M958" s="306">
        <f t="shared" ca="1" si="422"/>
        <v>-1.530964961748416</v>
      </c>
      <c r="N958" s="304">
        <f t="shared" ca="1" si="423"/>
        <v>-87.717830890591756</v>
      </c>
      <c r="P958" s="310">
        <f t="shared" ca="1" si="424"/>
        <v>23</v>
      </c>
      <c r="Q958" s="304">
        <f t="shared" ca="1" si="425"/>
        <v>0</v>
      </c>
      <c r="R958" s="306">
        <f t="shared" ca="1" si="426"/>
        <v>0</v>
      </c>
      <c r="S958" s="307">
        <f t="shared" ca="1" si="427"/>
        <v>4.9929999999999914</v>
      </c>
      <c r="T958" s="304">
        <f t="shared" ca="1" si="407"/>
        <v>48.981329999999922</v>
      </c>
      <c r="U958" s="311">
        <f t="shared" ca="1" si="408"/>
        <v>0</v>
      </c>
      <c r="V958" s="306">
        <f t="shared" ca="1" si="409"/>
        <v>1.2258906382532078</v>
      </c>
      <c r="W958" s="304">
        <f t="shared" ca="1" si="410"/>
        <v>49.510758775856665</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-0.11380624640720427</v>
      </c>
      <c r="AH958" s="304">
        <f t="shared" ca="1" si="434"/>
        <v>-9.9160251713101477</v>
      </c>
    </row>
    <row r="959" spans="1:34" x14ac:dyDescent="0.2">
      <c r="A959" s="347">
        <f t="shared" ca="1" si="412"/>
        <v>1E-4</v>
      </c>
      <c r="B959" s="304">
        <f t="shared" ca="1" si="413"/>
        <v>43.915600000000829</v>
      </c>
      <c r="D959" s="306">
        <f t="shared" ca="1" si="414"/>
        <v>-0.39486474752840267</v>
      </c>
      <c r="E959" s="307">
        <f t="shared" ca="1" si="415"/>
        <v>9.8169162228124662E-2</v>
      </c>
      <c r="F959" s="304">
        <f t="shared" ca="1" si="416"/>
        <v>0.40688493859227703</v>
      </c>
      <c r="G959" s="306">
        <f t="shared" ca="1" si="417"/>
        <v>4.4428249714643711</v>
      </c>
      <c r="H959" s="307">
        <f t="shared" ca="1" si="418"/>
        <v>-111.4828533397787</v>
      </c>
      <c r="I959" s="304">
        <f t="shared" ca="1" si="419"/>
        <v>111.57134615350697</v>
      </c>
      <c r="J959" s="306">
        <f t="shared" ca="1" si="420"/>
        <v>928.20926186620727</v>
      </c>
      <c r="K959" s="307">
        <f t="shared" ca="1" si="421"/>
        <v>-7.279022578596865</v>
      </c>
      <c r="L959" s="304">
        <f t="shared" ca="1" si="406"/>
        <v>928.23780249670347</v>
      </c>
      <c r="M959" s="306">
        <f t="shared" ca="1" si="422"/>
        <v>-1.5309653118762854</v>
      </c>
      <c r="N959" s="304">
        <f t="shared" ca="1" si="423"/>
        <v>-87.717850951440965</v>
      </c>
      <c r="P959" s="310">
        <f t="shared" ca="1" si="424"/>
        <v>23</v>
      </c>
      <c r="Q959" s="304">
        <f t="shared" ca="1" si="425"/>
        <v>0</v>
      </c>
      <c r="R959" s="306">
        <f t="shared" ca="1" si="426"/>
        <v>0</v>
      </c>
      <c r="S959" s="307">
        <f t="shared" ca="1" si="427"/>
        <v>4.9929999999999914</v>
      </c>
      <c r="T959" s="304">
        <f t="shared" ca="1" si="407"/>
        <v>48.981329999999922</v>
      </c>
      <c r="U959" s="311">
        <f t="shared" ca="1" si="408"/>
        <v>0</v>
      </c>
      <c r="V959" s="306">
        <f t="shared" ca="1" si="409"/>
        <v>1.225892004912073</v>
      </c>
      <c r="W959" s="304">
        <f t="shared" ca="1" si="410"/>
        <v>49.510803870607617</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-0.11381514137611148</v>
      </c>
      <c r="AH959" s="304">
        <f t="shared" ca="1" si="434"/>
        <v>-9.9160342030556272</v>
      </c>
    </row>
    <row r="960" spans="1:34" x14ac:dyDescent="0.2">
      <c r="A960" s="347">
        <f t="shared" ca="1" si="412"/>
        <v>1E-4</v>
      </c>
      <c r="B960" s="304">
        <f t="shared" ca="1" si="413"/>
        <v>43.915700000000832</v>
      </c>
      <c r="D960" s="306">
        <f t="shared" ca="1" si="414"/>
        <v>-0.39486163804467894</v>
      </c>
      <c r="E960" s="307">
        <f t="shared" ca="1" si="415"/>
        <v>9.8178324911684101E-2</v>
      </c>
      <c r="F960" s="304">
        <f t="shared" ca="1" si="416"/>
        <v>0.40688413176454946</v>
      </c>
      <c r="G960" s="306">
        <f t="shared" ca="1" si="417"/>
        <v>4.4427854853005666</v>
      </c>
      <c r="H960" s="307">
        <f t="shared" ca="1" si="418"/>
        <v>-111.48284352194621</v>
      </c>
      <c r="I960" s="304">
        <f t="shared" ca="1" si="419"/>
        <v>111.57133477111019</v>
      </c>
      <c r="J960" s="306">
        <f t="shared" ca="1" si="420"/>
        <v>928.20926186620727</v>
      </c>
      <c r="K960" s="307">
        <f t="shared" ca="1" si="421"/>
        <v>-7.2901708634399514</v>
      </c>
      <c r="L960" s="304">
        <f t="shared" ca="1" si="406"/>
        <v>928.23788998587395</v>
      </c>
      <c r="M960" s="306">
        <f t="shared" ca="1" si="422"/>
        <v>-1.5309656620011145</v>
      </c>
      <c r="N960" s="304">
        <f t="shared" ca="1" si="423"/>
        <v>-87.717871012115978</v>
      </c>
      <c r="P960" s="310">
        <f t="shared" ca="1" si="424"/>
        <v>23</v>
      </c>
      <c r="Q960" s="304">
        <f t="shared" ca="1" si="425"/>
        <v>0</v>
      </c>
      <c r="R960" s="306">
        <f t="shared" ca="1" si="426"/>
        <v>0</v>
      </c>
      <c r="S960" s="307">
        <f t="shared" ca="1" si="427"/>
        <v>4.9929999999999914</v>
      </c>
      <c r="T960" s="304">
        <f t="shared" ca="1" si="407"/>
        <v>48.981329999999922</v>
      </c>
      <c r="U960" s="311">
        <f t="shared" ca="1" si="408"/>
        <v>0</v>
      </c>
      <c r="V960" s="306">
        <f t="shared" ca="1" si="409"/>
        <v>1.2258933715723421</v>
      </c>
      <c r="W960" s="304">
        <f t="shared" ca="1" si="410"/>
        <v>49.510848964604357</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-0.11382403619635362</v>
      </c>
      <c r="AH960" s="304">
        <f t="shared" ca="1" si="434"/>
        <v>-9.9160432346500507</v>
      </c>
    </row>
    <row r="961" spans="1:34" x14ac:dyDescent="0.2">
      <c r="A961" s="347">
        <f t="shared" ca="1" si="412"/>
        <v>1E-4</v>
      </c>
      <c r="B961" s="304">
        <f t="shared" ca="1" si="413"/>
        <v>43.915800000000836</v>
      </c>
      <c r="D961" s="306">
        <f t="shared" ca="1" si="414"/>
        <v>-0.39485852857869569</v>
      </c>
      <c r="E961" s="307">
        <f t="shared" ca="1" si="415"/>
        <v>9.8187487442146448E-2</v>
      </c>
      <c r="F961" s="304">
        <f t="shared" ca="1" si="416"/>
        <v>0.40688332514559294</v>
      </c>
      <c r="G961" s="306">
        <f t="shared" ca="1" si="417"/>
        <v>4.442745999447709</v>
      </c>
      <c r="H961" s="307">
        <f t="shared" ca="1" si="418"/>
        <v>-111.48283370319746</v>
      </c>
      <c r="I961" s="304">
        <f t="shared" ca="1" si="419"/>
        <v>111.57132338782394</v>
      </c>
      <c r="J961" s="306">
        <f t="shared" ca="1" si="420"/>
        <v>928.20926186620727</v>
      </c>
      <c r="K961" s="307">
        <f t="shared" ca="1" si="421"/>
        <v>-7.3013191473012089</v>
      </c>
      <c r="L961" s="304">
        <f t="shared" ca="1" si="406"/>
        <v>928.23797760892114</v>
      </c>
      <c r="M961" s="306">
        <f t="shared" ca="1" si="422"/>
        <v>-1.5309660121229032</v>
      </c>
      <c r="N961" s="304">
        <f t="shared" ca="1" si="423"/>
        <v>-87.71789107261678</v>
      </c>
      <c r="P961" s="310">
        <f t="shared" ca="1" si="424"/>
        <v>23</v>
      </c>
      <c r="Q961" s="304">
        <f t="shared" ca="1" si="425"/>
        <v>0</v>
      </c>
      <c r="R961" s="306">
        <f t="shared" ca="1" si="426"/>
        <v>0</v>
      </c>
      <c r="S961" s="307">
        <f t="shared" ca="1" si="427"/>
        <v>4.9929999999999914</v>
      </c>
      <c r="T961" s="304">
        <f t="shared" ca="1" si="407"/>
        <v>48.981329999999922</v>
      </c>
      <c r="U961" s="311">
        <f t="shared" ca="1" si="408"/>
        <v>0</v>
      </c>
      <c r="V961" s="306">
        <f t="shared" ca="1" si="409"/>
        <v>1.2258947382340144</v>
      </c>
      <c r="W961" s="304">
        <f t="shared" ca="1" si="410"/>
        <v>49.510894057846841</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-0.11383293086792889</v>
      </c>
      <c r="AH961" s="304">
        <f t="shared" ca="1" si="434"/>
        <v>-9.9160522660934198</v>
      </c>
    </row>
    <row r="962" spans="1:34" x14ac:dyDescent="0.2">
      <c r="A962" s="347">
        <f t="shared" ca="1" si="412"/>
        <v>1E-4</v>
      </c>
      <c r="B962" s="304">
        <f t="shared" ca="1" si="413"/>
        <v>43.915900000000839</v>
      </c>
      <c r="D962" s="306">
        <f t="shared" ca="1" si="414"/>
        <v>-0.39485541913045485</v>
      </c>
      <c r="E962" s="307">
        <f t="shared" ca="1" si="415"/>
        <v>9.8196649819501047E-2</v>
      </c>
      <c r="F962" s="304">
        <f t="shared" ca="1" si="416"/>
        <v>0.40688251873539727</v>
      </c>
      <c r="G962" s="306">
        <f t="shared" ca="1" si="417"/>
        <v>4.4427065139057955</v>
      </c>
      <c r="H962" s="307">
        <f t="shared" ca="1" si="418"/>
        <v>-111.48282388353248</v>
      </c>
      <c r="I962" s="304">
        <f t="shared" ca="1" si="419"/>
        <v>111.57131200364823</v>
      </c>
      <c r="J962" s="306">
        <f t="shared" ca="1" si="420"/>
        <v>928.20926186620727</v>
      </c>
      <c r="K962" s="307">
        <f t="shared" ca="1" si="421"/>
        <v>-7.3124674301805452</v>
      </c>
      <c r="L962" s="304">
        <f t="shared" ca="1" si="406"/>
        <v>928.23806536584505</v>
      </c>
      <c r="M962" s="306">
        <f t="shared" ca="1" si="422"/>
        <v>-1.5309663622416516</v>
      </c>
      <c r="N962" s="304">
        <f t="shared" ca="1" si="423"/>
        <v>-87.717911132943399</v>
      </c>
      <c r="P962" s="310">
        <f t="shared" ca="1" si="424"/>
        <v>23</v>
      </c>
      <c r="Q962" s="304">
        <f t="shared" ca="1" si="425"/>
        <v>0</v>
      </c>
      <c r="R962" s="306">
        <f t="shared" ca="1" si="426"/>
        <v>0</v>
      </c>
      <c r="S962" s="307">
        <f t="shared" ca="1" si="427"/>
        <v>4.9929999999999914</v>
      </c>
      <c r="T962" s="304">
        <f t="shared" ca="1" si="407"/>
        <v>48.981329999999922</v>
      </c>
      <c r="U962" s="311">
        <f t="shared" ca="1" si="408"/>
        <v>0</v>
      </c>
      <c r="V962" s="306">
        <f t="shared" ca="1" si="409"/>
        <v>1.2258961048970907</v>
      </c>
      <c r="W962" s="304">
        <f t="shared" ca="1" si="410"/>
        <v>49.510939150335112</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-0.11384182539083021</v>
      </c>
      <c r="AH962" s="304">
        <f t="shared" ca="1" si="434"/>
        <v>-9.9160612973857258</v>
      </c>
    </row>
    <row r="963" spans="1:34" x14ac:dyDescent="0.2">
      <c r="A963" s="347">
        <f t="shared" ca="1" si="412"/>
        <v>1E-4</v>
      </c>
      <c r="B963" s="304">
        <f t="shared" ca="1" si="413"/>
        <v>43.916000000000842</v>
      </c>
      <c r="D963" s="306">
        <f t="shared" ca="1" si="414"/>
        <v>-0.39485230969995488</v>
      </c>
      <c r="E963" s="307">
        <f t="shared" ca="1" si="415"/>
        <v>9.8205812043758556E-2</v>
      </c>
      <c r="F963" s="304">
        <f t="shared" ca="1" si="416"/>
        <v>0.40688171253395394</v>
      </c>
      <c r="G963" s="306">
        <f t="shared" ca="1" si="417"/>
        <v>4.4426670286748253</v>
      </c>
      <c r="H963" s="307">
        <f t="shared" ca="1" si="418"/>
        <v>-111.48281406295128</v>
      </c>
      <c r="I963" s="304">
        <f t="shared" ca="1" si="419"/>
        <v>111.57130061858309</v>
      </c>
      <c r="J963" s="306">
        <f t="shared" ca="1" si="420"/>
        <v>928.20926186620727</v>
      </c>
      <c r="K963" s="307">
        <f t="shared" ca="1" si="421"/>
        <v>-7.3236157120778698</v>
      </c>
      <c r="L963" s="304">
        <f t="shared" ca="1" si="406"/>
        <v>928.23815325664543</v>
      </c>
      <c r="M963" s="306">
        <f t="shared" ca="1" si="422"/>
        <v>-1.5309667123573598</v>
      </c>
      <c r="N963" s="304">
        <f t="shared" ca="1" si="423"/>
        <v>-87.717931193095808</v>
      </c>
      <c r="P963" s="310">
        <f t="shared" ca="1" si="424"/>
        <v>23</v>
      </c>
      <c r="Q963" s="304">
        <f t="shared" ca="1" si="425"/>
        <v>0</v>
      </c>
      <c r="R963" s="306">
        <f t="shared" ca="1" si="426"/>
        <v>0</v>
      </c>
      <c r="S963" s="307">
        <f t="shared" ca="1" si="427"/>
        <v>4.9929999999999914</v>
      </c>
      <c r="T963" s="304">
        <f t="shared" ca="1" si="407"/>
        <v>48.981329999999922</v>
      </c>
      <c r="U963" s="311">
        <f t="shared" ca="1" si="408"/>
        <v>0</v>
      </c>
      <c r="V963" s="306">
        <f t="shared" ca="1" si="409"/>
        <v>1.2258974715615709</v>
      </c>
      <c r="W963" s="304">
        <f t="shared" ca="1" si="410"/>
        <v>49.510984242069213</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-0.11385071976506822</v>
      </c>
      <c r="AH963" s="304">
        <f t="shared" ca="1" si="434"/>
        <v>-9.9160703285269776</v>
      </c>
    </row>
    <row r="964" spans="1:34" x14ac:dyDescent="0.2">
      <c r="A964" s="347">
        <f t="shared" ca="1" si="412"/>
        <v>1E-4</v>
      </c>
      <c r="B964" s="304">
        <f t="shared" ca="1" si="413"/>
        <v>43.916100000000846</v>
      </c>
      <c r="D964" s="306">
        <f t="shared" ca="1" si="414"/>
        <v>-0.39484920028719644</v>
      </c>
      <c r="E964" s="307">
        <f t="shared" ca="1" si="415"/>
        <v>9.8214974114927855E-2</v>
      </c>
      <c r="F964" s="304">
        <f t="shared" ca="1" si="416"/>
        <v>0.40688090654125625</v>
      </c>
      <c r="G964" s="306">
        <f t="shared" ca="1" si="417"/>
        <v>4.4426275437547966</v>
      </c>
      <c r="H964" s="307">
        <f t="shared" ca="1" si="418"/>
        <v>-111.48280424145386</v>
      </c>
      <c r="I964" s="304">
        <f t="shared" ca="1" si="419"/>
        <v>111.57128923262853</v>
      </c>
      <c r="J964" s="306">
        <f t="shared" ca="1" si="420"/>
        <v>928.20926186620727</v>
      </c>
      <c r="K964" s="307">
        <f t="shared" ca="1" si="421"/>
        <v>-7.3347639929930901</v>
      </c>
      <c r="L964" s="304">
        <f t="shared" ref="L964:L1004" ca="1" si="435">SQRT(pos_x^2+pos_z^2)</f>
        <v>928.23824128132219</v>
      </c>
      <c r="M964" s="306">
        <f t="shared" ca="1" si="422"/>
        <v>-1.5309670624700276</v>
      </c>
      <c r="N964" s="304">
        <f t="shared" ca="1" si="423"/>
        <v>-87.717951253074034</v>
      </c>
      <c r="P964" s="310">
        <f t="shared" ca="1" si="424"/>
        <v>23</v>
      </c>
      <c r="Q964" s="304">
        <f t="shared" ca="1" si="425"/>
        <v>0</v>
      </c>
      <c r="R964" s="306">
        <f t="shared" ca="1" si="426"/>
        <v>0</v>
      </c>
      <c r="S964" s="307">
        <f t="shared" ca="1" si="427"/>
        <v>4.9929999999999914</v>
      </c>
      <c r="T964" s="304">
        <f t="shared" ref="T964:T1004" ca="1" si="436">m*g</f>
        <v>48.981329999999922</v>
      </c>
      <c r="U964" s="311">
        <f t="shared" ref="U964:U1004" ca="1" si="437">IF(pos_xz&lt;L_rampe,Poids*COS(Beta),0)</f>
        <v>0</v>
      </c>
      <c r="V964" s="306">
        <f t="shared" ref="V964:V1004" ca="1" si="438">Rho_moyen*(20000-Alt_rampe-pos_z)/(20000+Alt_rampe+pos_z)</f>
        <v>1.2258988382274549</v>
      </c>
      <c r="W964" s="304">
        <f t="shared" ref="W964:W1003" ca="1" si="439">1/2*Rho*Sref*Cx*vit_xz^2</f>
        <v>49.511029333049116</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-0.11385961399064826</v>
      </c>
      <c r="AH964" s="304">
        <f t="shared" ca="1" si="434"/>
        <v>-9.9160793595171839</v>
      </c>
    </row>
    <row r="965" spans="1:34" x14ac:dyDescent="0.2">
      <c r="A965" s="347">
        <f t="shared" ref="A965:A1004" ca="1" si="441">IF(B964+0.01&lt;=T_ini+ROUNDUP(Temps_fin_propu,0), 0.01, IF(K964&gt;0, 0.1, 0.0001))</f>
        <v>1E-4</v>
      </c>
      <c r="B965" s="304">
        <f t="shared" ref="B965:B1004" ca="1" si="442">B964+pas</f>
        <v>43.916200000000849</v>
      </c>
      <c r="D965" s="306">
        <f t="shared" ref="D965:D1004" ca="1" si="443">IF(AND(L964&lt;L_rampe,Poussee&lt;Poids*SIN(M964)),0,(-W964+Poussee)/m*COS(M964)-U964/m*SIN(M964))</f>
        <v>-0.39484609089218176</v>
      </c>
      <c r="E965" s="307">
        <f t="shared" ref="E965:E1004" ca="1" si="444">IF(AND(L964&lt;L_rampe,Poussee&lt;Poids*SIN(M964)),0,(-W964+Poussee)/m*SIN(M964)+U964/m*COS(M964)-Poids/m)</f>
        <v>9.8224136033001841E-2</v>
      </c>
      <c r="F965" s="304">
        <f t="shared" ref="F965:F1004" ca="1" si="445">SQRT(acc_x^2+acc_z^2)</f>
        <v>0.40688010075729519</v>
      </c>
      <c r="G965" s="306">
        <f t="shared" ref="G965:G1004" ca="1" si="446">G964+acc_x*pas</f>
        <v>4.4425880591457076</v>
      </c>
      <c r="H965" s="307">
        <f t="shared" ref="H965:H1004" ca="1" si="447">H964+acc_z*pas</f>
        <v>-111.48279441904026</v>
      </c>
      <c r="I965" s="304">
        <f t="shared" ref="I965:I1004" ca="1" si="448">SQRT(vit_x^2+vit_z^2)</f>
        <v>111.57127784578456</v>
      </c>
      <c r="J965" s="306">
        <f t="shared" ref="J965:J1004" ca="1" si="449">J964+0.5*(vit_x+G964)*pas*(K964&gt;=0)</f>
        <v>928.20926186620727</v>
      </c>
      <c r="K965" s="307">
        <f t="shared" ref="K965:K1004" ca="1" si="450">K964+0.5*(vit_z+H964)*pas</f>
        <v>-7.3459122729261148</v>
      </c>
      <c r="L965" s="304">
        <f t="shared" ca="1" si="435"/>
        <v>928.23832943987543</v>
      </c>
      <c r="M965" s="306">
        <f t="shared" ref="M965:M1004" ca="1" si="451">IF(AND(L964&gt;L_rampe,G965&gt;0),ATAN2(G965,H965),$M$4)</f>
        <v>-1.5309674125796553</v>
      </c>
      <c r="N965" s="304">
        <f t="shared" ref="N965:N1004" ca="1" si="452">DEGREES(Beta)</f>
        <v>-87.717971312878063</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4.9929999999999914</v>
      </c>
      <c r="T965" s="304">
        <f t="shared" ca="1" si="436"/>
        <v>48.981329999999922</v>
      </c>
      <c r="U965" s="311">
        <f t="shared" ca="1" si="437"/>
        <v>0</v>
      </c>
      <c r="V965" s="306">
        <f t="shared" ca="1" si="438"/>
        <v>1.2259002048947427</v>
      </c>
      <c r="W965" s="304">
        <f t="shared" ca="1" si="439"/>
        <v>49.511074423274856</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-0.11386850806756854</v>
      </c>
      <c r="AH965" s="304">
        <f t="shared" ref="AH965:AH1004" ca="1" si="463">IF(AND(L964&lt;L_rampe,Poussee&lt;Poids*SIN(M964)), g*SIN(M964), (-W964+Poussee)/m)</f>
        <v>-9.9160883903563395</v>
      </c>
    </row>
    <row r="966" spans="1:34" x14ac:dyDescent="0.2">
      <c r="A966" s="347">
        <f t="shared" ca="1" si="441"/>
        <v>1E-4</v>
      </c>
      <c r="B966" s="304">
        <f t="shared" ca="1" si="442"/>
        <v>43.916300000000852</v>
      </c>
      <c r="D966" s="306">
        <f t="shared" ca="1" si="443"/>
        <v>-0.39484298151490671</v>
      </c>
      <c r="E966" s="307">
        <f t="shared" ca="1" si="444"/>
        <v>9.8233297797987618E-2</v>
      </c>
      <c r="F966" s="304">
        <f t="shared" ca="1" si="445"/>
        <v>0.40687929518205901</v>
      </c>
      <c r="G966" s="306">
        <f t="shared" ca="1" si="446"/>
        <v>4.4425485748475557</v>
      </c>
      <c r="H966" s="307">
        <f t="shared" ca="1" si="447"/>
        <v>-111.48278459571048</v>
      </c>
      <c r="I966" s="304">
        <f t="shared" ca="1" si="448"/>
        <v>111.57126645805121</v>
      </c>
      <c r="J966" s="306">
        <f t="shared" ca="1" si="449"/>
        <v>928.20926186620727</v>
      </c>
      <c r="K966" s="307">
        <f t="shared" ca="1" si="450"/>
        <v>-7.3570605518768524</v>
      </c>
      <c r="L966" s="304">
        <f t="shared" ca="1" si="435"/>
        <v>928.23841773230504</v>
      </c>
      <c r="M966" s="306">
        <f t="shared" ca="1" si="451"/>
        <v>-1.5309677626862428</v>
      </c>
      <c r="N966" s="304">
        <f t="shared" ca="1" si="452"/>
        <v>-87.71799137250791</v>
      </c>
      <c r="P966" s="310">
        <f t="shared" ca="1" si="453"/>
        <v>23</v>
      </c>
      <c r="Q966" s="304">
        <f t="shared" ca="1" si="454"/>
        <v>0</v>
      </c>
      <c r="R966" s="306">
        <f t="shared" ca="1" si="455"/>
        <v>0</v>
      </c>
      <c r="S966" s="307">
        <f t="shared" ca="1" si="456"/>
        <v>4.9929999999999914</v>
      </c>
      <c r="T966" s="304">
        <f t="shared" ca="1" si="436"/>
        <v>48.981329999999922</v>
      </c>
      <c r="U966" s="311">
        <f t="shared" ca="1" si="437"/>
        <v>0</v>
      </c>
      <c r="V966" s="306">
        <f t="shared" ca="1" si="438"/>
        <v>1.225901571563434</v>
      </c>
      <c r="W966" s="304">
        <f t="shared" ca="1" si="439"/>
        <v>49.511119512746426</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-0.11387740199583263</v>
      </c>
      <c r="AH966" s="304">
        <f t="shared" ca="1" si="463"/>
        <v>-9.9160974210444497</v>
      </c>
    </row>
    <row r="967" spans="1:34" x14ac:dyDescent="0.2">
      <c r="A967" s="347">
        <f t="shared" ca="1" si="441"/>
        <v>1E-4</v>
      </c>
      <c r="B967" s="304">
        <f t="shared" ca="1" si="442"/>
        <v>43.916400000000856</v>
      </c>
      <c r="D967" s="306">
        <f t="shared" ca="1" si="443"/>
        <v>-0.39483987215537403</v>
      </c>
      <c r="E967" s="307">
        <f t="shared" ca="1" si="444"/>
        <v>9.8242459409886962E-2</v>
      </c>
      <c r="F967" s="304">
        <f t="shared" ca="1" si="445"/>
        <v>0.40687848981554109</v>
      </c>
      <c r="G967" s="306">
        <f t="shared" ca="1" si="446"/>
        <v>4.44250909086034</v>
      </c>
      <c r="H967" s="307">
        <f t="shared" ca="1" si="447"/>
        <v>-111.48277477146455</v>
      </c>
      <c r="I967" s="304">
        <f t="shared" ca="1" si="448"/>
        <v>111.57125506942847</v>
      </c>
      <c r="J967" s="306">
        <f t="shared" ca="1" si="449"/>
        <v>928.20926186620727</v>
      </c>
      <c r="K967" s="307">
        <f t="shared" ca="1" si="450"/>
        <v>-7.3682088298452113</v>
      </c>
      <c r="L967" s="304">
        <f t="shared" ca="1" si="435"/>
        <v>928.2385061586109</v>
      </c>
      <c r="M967" s="306">
        <f t="shared" ca="1" si="451"/>
        <v>-1.5309681127897901</v>
      </c>
      <c r="N967" s="304">
        <f t="shared" ca="1" si="452"/>
        <v>-87.718011431963561</v>
      </c>
      <c r="P967" s="310">
        <f t="shared" ca="1" si="453"/>
        <v>23</v>
      </c>
      <c r="Q967" s="304">
        <f t="shared" ca="1" si="454"/>
        <v>0</v>
      </c>
      <c r="R967" s="306">
        <f t="shared" ca="1" si="455"/>
        <v>0</v>
      </c>
      <c r="S967" s="307">
        <f t="shared" ca="1" si="456"/>
        <v>4.9929999999999914</v>
      </c>
      <c r="T967" s="304">
        <f t="shared" ca="1" si="436"/>
        <v>48.981329999999922</v>
      </c>
      <c r="U967" s="311">
        <f t="shared" ca="1" si="437"/>
        <v>0</v>
      </c>
      <c r="V967" s="306">
        <f t="shared" ca="1" si="438"/>
        <v>1.2259029382335294</v>
      </c>
      <c r="W967" s="304">
        <f t="shared" ca="1" si="439"/>
        <v>49.511164601463832</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-0.11388629577543874</v>
      </c>
      <c r="AH967" s="304">
        <f t="shared" ca="1" si="463"/>
        <v>-9.9161064515815163</v>
      </c>
    </row>
    <row r="968" spans="1:34" x14ac:dyDescent="0.2">
      <c r="A968" s="347">
        <f t="shared" ca="1" si="441"/>
        <v>1E-4</v>
      </c>
      <c r="B968" s="304">
        <f t="shared" ca="1" si="442"/>
        <v>43.916500000000859</v>
      </c>
      <c r="D968" s="306">
        <f t="shared" ca="1" si="443"/>
        <v>-0.39483676281358376</v>
      </c>
      <c r="E968" s="307">
        <f t="shared" ca="1" si="444"/>
        <v>9.8251620868698097E-2</v>
      </c>
      <c r="F968" s="304">
        <f t="shared" ca="1" si="445"/>
        <v>0.40687768465773172</v>
      </c>
      <c r="G968" s="306">
        <f t="shared" ca="1" si="446"/>
        <v>4.4424696071840586</v>
      </c>
      <c r="H968" s="307">
        <f t="shared" ca="1" si="447"/>
        <v>-111.48276494630247</v>
      </c>
      <c r="I968" s="304">
        <f t="shared" ca="1" si="448"/>
        <v>111.57124367991638</v>
      </c>
      <c r="J968" s="306">
        <f t="shared" ca="1" si="449"/>
        <v>928.20926186620727</v>
      </c>
      <c r="K968" s="307">
        <f t="shared" ca="1" si="450"/>
        <v>-7.3793571068310992</v>
      </c>
      <c r="L968" s="304">
        <f t="shared" ca="1" si="435"/>
        <v>928.23859471879291</v>
      </c>
      <c r="M968" s="306">
        <f t="shared" ca="1" si="451"/>
        <v>-1.5309684628902973</v>
      </c>
      <c r="N968" s="304">
        <f t="shared" ca="1" si="452"/>
        <v>-87.718031491245029</v>
      </c>
      <c r="P968" s="310">
        <f t="shared" ca="1" si="453"/>
        <v>23</v>
      </c>
      <c r="Q968" s="304">
        <f t="shared" ca="1" si="454"/>
        <v>0</v>
      </c>
      <c r="R968" s="306">
        <f t="shared" ca="1" si="455"/>
        <v>0</v>
      </c>
      <c r="S968" s="307">
        <f t="shared" ca="1" si="456"/>
        <v>4.9929999999999914</v>
      </c>
      <c r="T968" s="304">
        <f t="shared" ca="1" si="436"/>
        <v>48.981329999999922</v>
      </c>
      <c r="U968" s="311">
        <f t="shared" ca="1" si="437"/>
        <v>0</v>
      </c>
      <c r="V968" s="306">
        <f t="shared" ca="1" si="438"/>
        <v>1.2259043049050282</v>
      </c>
      <c r="W968" s="304">
        <f t="shared" ca="1" si="439"/>
        <v>49.511209689427112</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-0.11389518940639221</v>
      </c>
      <c r="AH968" s="304">
        <f t="shared" ca="1" si="463"/>
        <v>-9.9161154819675374</v>
      </c>
    </row>
    <row r="969" spans="1:34" x14ac:dyDescent="0.2">
      <c r="A969" s="347">
        <f t="shared" ca="1" si="441"/>
        <v>1E-4</v>
      </c>
      <c r="B969" s="304">
        <f t="shared" ca="1" si="442"/>
        <v>43.916600000000862</v>
      </c>
      <c r="D969" s="306">
        <f t="shared" ca="1" si="443"/>
        <v>-0.39483365348953436</v>
      </c>
      <c r="E969" s="307">
        <f t="shared" ca="1" si="444"/>
        <v>9.826078217442813E-2</v>
      </c>
      <c r="F969" s="304">
        <f t="shared" ca="1" si="445"/>
        <v>0.40687687970862157</v>
      </c>
      <c r="G969" s="306">
        <f t="shared" ca="1" si="446"/>
        <v>4.4424301238187098</v>
      </c>
      <c r="H969" s="307">
        <f t="shared" ca="1" si="447"/>
        <v>-111.48275512022425</v>
      </c>
      <c r="I969" s="304">
        <f t="shared" ca="1" si="448"/>
        <v>111.57123228951494</v>
      </c>
      <c r="J969" s="306">
        <f t="shared" ca="1" si="449"/>
        <v>928.20926186620727</v>
      </c>
      <c r="K969" s="307">
        <f t="shared" ca="1" si="450"/>
        <v>-7.3905053828344256</v>
      </c>
      <c r="L969" s="304">
        <f t="shared" ca="1" si="435"/>
        <v>928.23868341285095</v>
      </c>
      <c r="M969" s="306">
        <f t="shared" ca="1" si="451"/>
        <v>-1.5309688129877643</v>
      </c>
      <c r="N969" s="304">
        <f t="shared" ca="1" si="452"/>
        <v>-87.718051550352314</v>
      </c>
      <c r="P969" s="310">
        <f t="shared" ca="1" si="453"/>
        <v>23</v>
      </c>
      <c r="Q969" s="304">
        <f t="shared" ca="1" si="454"/>
        <v>0</v>
      </c>
      <c r="R969" s="306">
        <f t="shared" ca="1" si="455"/>
        <v>0</v>
      </c>
      <c r="S969" s="307">
        <f t="shared" ca="1" si="456"/>
        <v>4.9929999999999914</v>
      </c>
      <c r="T969" s="304">
        <f t="shared" ca="1" si="436"/>
        <v>48.981329999999922</v>
      </c>
      <c r="U969" s="311">
        <f t="shared" ca="1" si="437"/>
        <v>0</v>
      </c>
      <c r="V969" s="306">
        <f t="shared" ca="1" si="438"/>
        <v>1.2259056715779308</v>
      </c>
      <c r="W969" s="304">
        <f t="shared" ca="1" si="439"/>
        <v>49.51125477663625</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-0.11390408288869658</v>
      </c>
      <c r="AH969" s="304">
        <f t="shared" ca="1" si="463"/>
        <v>-9.9161245122025221</v>
      </c>
    </row>
    <row r="970" spans="1:34" x14ac:dyDescent="0.2">
      <c r="A970" s="347">
        <f t="shared" ca="1" si="441"/>
        <v>1E-4</v>
      </c>
      <c r="B970" s="304">
        <f t="shared" ca="1" si="442"/>
        <v>43.916700000000866</v>
      </c>
      <c r="D970" s="306">
        <f t="shared" ca="1" si="443"/>
        <v>-0.39483054418322816</v>
      </c>
      <c r="E970" s="307">
        <f t="shared" ca="1" si="444"/>
        <v>9.8269943327077058E-2</v>
      </c>
      <c r="F970" s="304">
        <f t="shared" ca="1" si="445"/>
        <v>0.40687607496820338</v>
      </c>
      <c r="G970" s="306">
        <f t="shared" ca="1" si="446"/>
        <v>4.4423906407642919</v>
      </c>
      <c r="H970" s="307">
        <f t="shared" ca="1" si="447"/>
        <v>-111.48274529322993</v>
      </c>
      <c r="I970" s="304">
        <f t="shared" ca="1" si="448"/>
        <v>111.57122089822415</v>
      </c>
      <c r="J970" s="306">
        <f t="shared" ca="1" si="449"/>
        <v>928.20926186620727</v>
      </c>
      <c r="K970" s="307">
        <f t="shared" ca="1" si="450"/>
        <v>-7.401653657855098</v>
      </c>
      <c r="L970" s="304">
        <f t="shared" ca="1" si="435"/>
        <v>928.23877224078512</v>
      </c>
      <c r="M970" s="306">
        <f t="shared" ca="1" si="451"/>
        <v>-1.5309691630821913</v>
      </c>
      <c r="N970" s="304">
        <f t="shared" ca="1" si="452"/>
        <v>-87.718071609285403</v>
      </c>
      <c r="P970" s="310">
        <f t="shared" ca="1" si="453"/>
        <v>23</v>
      </c>
      <c r="Q970" s="304">
        <f t="shared" ca="1" si="454"/>
        <v>0</v>
      </c>
      <c r="R970" s="306">
        <f t="shared" ca="1" si="455"/>
        <v>0</v>
      </c>
      <c r="S970" s="307">
        <f t="shared" ca="1" si="456"/>
        <v>4.9929999999999914</v>
      </c>
      <c r="T970" s="304">
        <f t="shared" ca="1" si="436"/>
        <v>48.981329999999922</v>
      </c>
      <c r="U970" s="311">
        <f t="shared" ca="1" si="437"/>
        <v>0</v>
      </c>
      <c r="V970" s="306">
        <f t="shared" ca="1" si="438"/>
        <v>1.2259070382522375</v>
      </c>
      <c r="W970" s="304">
        <f t="shared" ca="1" si="439"/>
        <v>49.511299863091274</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-0.11391297622235363</v>
      </c>
      <c r="AH970" s="304">
        <f t="shared" ca="1" si="463"/>
        <v>-9.9161335422864685</v>
      </c>
    </row>
    <row r="971" spans="1:34" x14ac:dyDescent="0.2">
      <c r="A971" s="347">
        <f t="shared" ca="1" si="441"/>
        <v>1E-4</v>
      </c>
      <c r="B971" s="304">
        <f t="shared" ca="1" si="442"/>
        <v>43.916800000000869</v>
      </c>
      <c r="D971" s="306">
        <f t="shared" ca="1" si="443"/>
        <v>-0.39482743489466332</v>
      </c>
      <c r="E971" s="307">
        <f t="shared" ca="1" si="444"/>
        <v>9.8279104326644884E-2</v>
      </c>
      <c r="F971" s="304">
        <f t="shared" ca="1" si="445"/>
        <v>0.40687527043646576</v>
      </c>
      <c r="G971" s="306">
        <f t="shared" ca="1" si="446"/>
        <v>4.4423511580208022</v>
      </c>
      <c r="H971" s="307">
        <f t="shared" ca="1" si="447"/>
        <v>-111.48273546531949</v>
      </c>
      <c r="I971" s="304">
        <f t="shared" ca="1" si="448"/>
        <v>111.57120950604406</v>
      </c>
      <c r="J971" s="306">
        <f t="shared" ca="1" si="449"/>
        <v>928.20926186620727</v>
      </c>
      <c r="K971" s="307">
        <f t="shared" ca="1" si="450"/>
        <v>-7.4128019318930258</v>
      </c>
      <c r="L971" s="304">
        <f t="shared" ca="1" si="435"/>
        <v>928.23886120259522</v>
      </c>
      <c r="M971" s="306">
        <f t="shared" ca="1" si="451"/>
        <v>-1.5309695131735783</v>
      </c>
      <c r="N971" s="304">
        <f t="shared" ca="1" si="452"/>
        <v>-87.718091668044323</v>
      </c>
      <c r="P971" s="310">
        <f t="shared" ca="1" si="453"/>
        <v>23</v>
      </c>
      <c r="Q971" s="304">
        <f t="shared" ca="1" si="454"/>
        <v>0</v>
      </c>
      <c r="R971" s="306">
        <f t="shared" ca="1" si="455"/>
        <v>0</v>
      </c>
      <c r="S971" s="307">
        <f t="shared" ca="1" si="456"/>
        <v>4.9929999999999914</v>
      </c>
      <c r="T971" s="304">
        <f t="shared" ca="1" si="436"/>
        <v>48.981329999999922</v>
      </c>
      <c r="U971" s="311">
        <f t="shared" ca="1" si="437"/>
        <v>0</v>
      </c>
      <c r="V971" s="306">
        <f t="shared" ca="1" si="438"/>
        <v>1.2259084049279472</v>
      </c>
      <c r="W971" s="304">
        <f t="shared" ca="1" si="439"/>
        <v>49.51134494879215</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-0.11392186940735982</v>
      </c>
      <c r="AH971" s="304">
        <f t="shared" ca="1" si="463"/>
        <v>-9.9161425722193783</v>
      </c>
    </row>
    <row r="972" spans="1:34" x14ac:dyDescent="0.2">
      <c r="A972" s="347">
        <f t="shared" ca="1" si="441"/>
        <v>1E-4</v>
      </c>
      <c r="B972" s="304">
        <f t="shared" ca="1" si="442"/>
        <v>43.916900000000872</v>
      </c>
      <c r="D972" s="306">
        <f t="shared" ca="1" si="443"/>
        <v>-0.3948243256238399</v>
      </c>
      <c r="E972" s="307">
        <f t="shared" ca="1" si="444"/>
        <v>9.8288265173131606E-2</v>
      </c>
      <c r="F972" s="304">
        <f t="shared" ca="1" si="445"/>
        <v>0.40687446611339939</v>
      </c>
      <c r="G972" s="306">
        <f t="shared" ca="1" si="446"/>
        <v>4.4423116755882397</v>
      </c>
      <c r="H972" s="307">
        <f t="shared" ca="1" si="447"/>
        <v>-111.48272563649297</v>
      </c>
      <c r="I972" s="304">
        <f t="shared" ca="1" si="448"/>
        <v>111.57119811297464</v>
      </c>
      <c r="J972" s="306">
        <f t="shared" ca="1" si="449"/>
        <v>928.20926186620727</v>
      </c>
      <c r="K972" s="307">
        <f t="shared" ca="1" si="450"/>
        <v>-7.4239502049481167</v>
      </c>
      <c r="L972" s="304">
        <f t="shared" ca="1" si="435"/>
        <v>928.23895029828111</v>
      </c>
      <c r="M972" s="306">
        <f t="shared" ca="1" si="451"/>
        <v>-1.5309698632619251</v>
      </c>
      <c r="N972" s="304">
        <f t="shared" ca="1" si="452"/>
        <v>-87.718111726629047</v>
      </c>
      <c r="P972" s="310">
        <f t="shared" ca="1" si="453"/>
        <v>23</v>
      </c>
      <c r="Q972" s="304">
        <f t="shared" ca="1" si="454"/>
        <v>0</v>
      </c>
      <c r="R972" s="306">
        <f t="shared" ca="1" si="455"/>
        <v>0</v>
      </c>
      <c r="S972" s="307">
        <f t="shared" ca="1" si="456"/>
        <v>4.9929999999999914</v>
      </c>
      <c r="T972" s="304">
        <f t="shared" ca="1" si="436"/>
        <v>48.981329999999922</v>
      </c>
      <c r="U972" s="311">
        <f t="shared" ca="1" si="437"/>
        <v>0</v>
      </c>
      <c r="V972" s="306">
        <f t="shared" ca="1" si="438"/>
        <v>1.2259097716050611</v>
      </c>
      <c r="W972" s="304">
        <f t="shared" ca="1" si="439"/>
        <v>49.511390033738941</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-0.11393076244371692</v>
      </c>
      <c r="AH972" s="304">
        <f t="shared" ca="1" si="463"/>
        <v>-9.9161516020012481</v>
      </c>
    </row>
    <row r="973" spans="1:34" x14ac:dyDescent="0.2">
      <c r="A973" s="347">
        <f t="shared" ca="1" si="441"/>
        <v>1E-4</v>
      </c>
      <c r="B973" s="304">
        <f t="shared" ca="1" si="442"/>
        <v>43.917000000000876</v>
      </c>
      <c r="D973" s="306">
        <f t="shared" ca="1" si="443"/>
        <v>-0.39482121637076084</v>
      </c>
      <c r="E973" s="307">
        <f t="shared" ca="1" si="444"/>
        <v>9.8297425866546106E-2</v>
      </c>
      <c r="F973" s="304">
        <f t="shared" ca="1" si="445"/>
        <v>0.40687366199899971</v>
      </c>
      <c r="G973" s="306">
        <f t="shared" ca="1" si="446"/>
        <v>4.4422721934666027</v>
      </c>
      <c r="H973" s="307">
        <f t="shared" ca="1" si="447"/>
        <v>-111.48271580675039</v>
      </c>
      <c r="I973" s="304">
        <f t="shared" ca="1" si="448"/>
        <v>111.57118671901594</v>
      </c>
      <c r="J973" s="306">
        <f t="shared" ca="1" si="449"/>
        <v>928.20926186620727</v>
      </c>
      <c r="K973" s="307">
        <f t="shared" ca="1" si="450"/>
        <v>-7.4350984770202793</v>
      </c>
      <c r="L973" s="304">
        <f t="shared" ca="1" si="435"/>
        <v>928.23903952784292</v>
      </c>
      <c r="M973" s="306">
        <f t="shared" ca="1" si="451"/>
        <v>-1.530970213347232</v>
      </c>
      <c r="N973" s="304">
        <f t="shared" ca="1" si="452"/>
        <v>-87.718131785039617</v>
      </c>
      <c r="P973" s="310">
        <f t="shared" ca="1" si="453"/>
        <v>23</v>
      </c>
      <c r="Q973" s="304">
        <f t="shared" ca="1" si="454"/>
        <v>0</v>
      </c>
      <c r="R973" s="306">
        <f t="shared" ca="1" si="455"/>
        <v>0</v>
      </c>
      <c r="S973" s="307">
        <f t="shared" ca="1" si="456"/>
        <v>4.9929999999999914</v>
      </c>
      <c r="T973" s="304">
        <f t="shared" ca="1" si="436"/>
        <v>48.981329999999922</v>
      </c>
      <c r="U973" s="311">
        <f t="shared" ca="1" si="437"/>
        <v>0</v>
      </c>
      <c r="V973" s="306">
        <f t="shared" ca="1" si="438"/>
        <v>1.2259111382835783</v>
      </c>
      <c r="W973" s="304">
        <f t="shared" ca="1" si="439"/>
        <v>49.511435117931626</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-0.1139396553314338</v>
      </c>
      <c r="AH973" s="304">
        <f t="shared" ca="1" si="463"/>
        <v>-9.9161606316320903</v>
      </c>
    </row>
    <row r="974" spans="1:34" x14ac:dyDescent="0.2">
      <c r="A974" s="347">
        <f t="shared" ca="1" si="441"/>
        <v>1E-4</v>
      </c>
      <c r="B974" s="304">
        <f t="shared" ca="1" si="442"/>
        <v>43.917100000000879</v>
      </c>
      <c r="D974" s="306">
        <f t="shared" ca="1" si="443"/>
        <v>-0.39481810713542176</v>
      </c>
      <c r="E974" s="307">
        <f t="shared" ca="1" si="444"/>
        <v>9.8306586406884833E-2</v>
      </c>
      <c r="F974" s="304">
        <f t="shared" ca="1" si="445"/>
        <v>0.40687285809325213</v>
      </c>
      <c r="G974" s="306">
        <f t="shared" ca="1" si="446"/>
        <v>4.4422327116558895</v>
      </c>
      <c r="H974" s="307">
        <f t="shared" ca="1" si="447"/>
        <v>-111.48270597609175</v>
      </c>
      <c r="I974" s="304">
        <f t="shared" ca="1" si="448"/>
        <v>111.57117532416797</v>
      </c>
      <c r="J974" s="306">
        <f t="shared" ca="1" si="449"/>
        <v>928.20926186620727</v>
      </c>
      <c r="K974" s="307">
        <f t="shared" ca="1" si="450"/>
        <v>-7.446246748109421</v>
      </c>
      <c r="L974" s="304">
        <f t="shared" ca="1" si="435"/>
        <v>928.23912889128042</v>
      </c>
      <c r="M974" s="306">
        <f t="shared" ca="1" si="451"/>
        <v>-1.530970563429499</v>
      </c>
      <c r="N974" s="304">
        <f t="shared" ca="1" si="452"/>
        <v>-87.71815184327599</v>
      </c>
      <c r="P974" s="310">
        <f t="shared" ca="1" si="453"/>
        <v>23</v>
      </c>
      <c r="Q974" s="304">
        <f t="shared" ca="1" si="454"/>
        <v>0</v>
      </c>
      <c r="R974" s="306">
        <f t="shared" ca="1" si="455"/>
        <v>0</v>
      </c>
      <c r="S974" s="307">
        <f t="shared" ca="1" si="456"/>
        <v>4.9929999999999914</v>
      </c>
      <c r="T974" s="304">
        <f t="shared" ca="1" si="436"/>
        <v>48.981329999999922</v>
      </c>
      <c r="U974" s="311">
        <f t="shared" ca="1" si="437"/>
        <v>0</v>
      </c>
      <c r="V974" s="306">
        <f t="shared" ca="1" si="438"/>
        <v>1.2259125049634993</v>
      </c>
      <c r="W974" s="304">
        <f t="shared" ca="1" si="439"/>
        <v>49.511480201370233</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-0.11394854807050692</v>
      </c>
      <c r="AH974" s="304">
        <f t="shared" ca="1" si="463"/>
        <v>-9.9161696611118995</v>
      </c>
    </row>
    <row r="975" spans="1:34" x14ac:dyDescent="0.2">
      <c r="A975" s="347">
        <f t="shared" ca="1" si="441"/>
        <v>1E-4</v>
      </c>
      <c r="B975" s="304">
        <f t="shared" ca="1" si="442"/>
        <v>43.917200000000882</v>
      </c>
      <c r="D975" s="306">
        <f t="shared" ca="1" si="443"/>
        <v>-0.39481499791782532</v>
      </c>
      <c r="E975" s="307">
        <f t="shared" ca="1" si="444"/>
        <v>9.8315746794153114E-2</v>
      </c>
      <c r="F975" s="304">
        <f t="shared" ca="1" si="445"/>
        <v>0.40687205439615098</v>
      </c>
      <c r="G975" s="306">
        <f t="shared" ca="1" si="446"/>
        <v>4.4421932301560973</v>
      </c>
      <c r="H975" s="307">
        <f t="shared" ca="1" si="447"/>
        <v>-111.48269614451708</v>
      </c>
      <c r="I975" s="304">
        <f t="shared" ca="1" si="448"/>
        <v>111.57116392843075</v>
      </c>
      <c r="J975" s="306">
        <f t="shared" ca="1" si="449"/>
        <v>928.20926186620727</v>
      </c>
      <c r="K975" s="307">
        <f t="shared" ca="1" si="450"/>
        <v>-7.4573950182154514</v>
      </c>
      <c r="L975" s="304">
        <f t="shared" ca="1" si="435"/>
        <v>928.2392183885936</v>
      </c>
      <c r="M975" s="306">
        <f t="shared" ca="1" si="451"/>
        <v>-1.5309709135087262</v>
      </c>
      <c r="N975" s="304">
        <f t="shared" ca="1" si="452"/>
        <v>-87.718171901338195</v>
      </c>
      <c r="P975" s="310">
        <f t="shared" ca="1" si="453"/>
        <v>23</v>
      </c>
      <c r="Q975" s="304">
        <f t="shared" ca="1" si="454"/>
        <v>0</v>
      </c>
      <c r="R975" s="306">
        <f t="shared" ca="1" si="455"/>
        <v>0</v>
      </c>
      <c r="S975" s="307">
        <f t="shared" ca="1" si="456"/>
        <v>4.9929999999999914</v>
      </c>
      <c r="T975" s="304">
        <f t="shared" ca="1" si="436"/>
        <v>48.981329999999922</v>
      </c>
      <c r="U975" s="311">
        <f t="shared" ca="1" si="437"/>
        <v>0</v>
      </c>
      <c r="V975" s="306">
        <f t="shared" ca="1" si="438"/>
        <v>1.2259138716448241</v>
      </c>
      <c r="W975" s="304">
        <f t="shared" ca="1" si="439"/>
        <v>49.511525284054777</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-0.1139574406609416</v>
      </c>
      <c r="AH975" s="304">
        <f t="shared" ca="1" si="463"/>
        <v>-9.916178690440681</v>
      </c>
    </row>
    <row r="976" spans="1:34" x14ac:dyDescent="0.2">
      <c r="A976" s="347">
        <f t="shared" ca="1" si="441"/>
        <v>1E-4</v>
      </c>
      <c r="B976" s="304">
        <f t="shared" ca="1" si="442"/>
        <v>43.917300000000886</v>
      </c>
      <c r="D976" s="306">
        <f t="shared" ca="1" si="443"/>
        <v>-0.39481188871796979</v>
      </c>
      <c r="E976" s="307">
        <f t="shared" ca="1" si="444"/>
        <v>9.8324907028356279E-2</v>
      </c>
      <c r="F976" s="304">
        <f t="shared" ca="1" si="445"/>
        <v>0.40687125090768639</v>
      </c>
      <c r="G976" s="306">
        <f t="shared" ca="1" si="446"/>
        <v>4.4421537489672254</v>
      </c>
      <c r="H976" s="307">
        <f t="shared" ca="1" si="447"/>
        <v>-111.48268631202637</v>
      </c>
      <c r="I976" s="304">
        <f t="shared" ca="1" si="448"/>
        <v>111.57115253180427</v>
      </c>
      <c r="J976" s="306">
        <f t="shared" ca="1" si="449"/>
        <v>928.20926186620727</v>
      </c>
      <c r="K976" s="307">
        <f t="shared" ca="1" si="450"/>
        <v>-7.4685432873382789</v>
      </c>
      <c r="L976" s="304">
        <f t="shared" ca="1" si="435"/>
        <v>928.23930801978224</v>
      </c>
      <c r="M976" s="306">
        <f t="shared" ca="1" si="451"/>
        <v>-1.5309712635849133</v>
      </c>
      <c r="N976" s="304">
        <f t="shared" ca="1" si="452"/>
        <v>-87.718191959226232</v>
      </c>
      <c r="P976" s="310">
        <f t="shared" ca="1" si="453"/>
        <v>23</v>
      </c>
      <c r="Q976" s="304">
        <f t="shared" ca="1" si="454"/>
        <v>0</v>
      </c>
      <c r="R976" s="306">
        <f t="shared" ca="1" si="455"/>
        <v>0</v>
      </c>
      <c r="S976" s="307">
        <f t="shared" ca="1" si="456"/>
        <v>4.9929999999999914</v>
      </c>
      <c r="T976" s="304">
        <f t="shared" ca="1" si="436"/>
        <v>48.981329999999922</v>
      </c>
      <c r="U976" s="311">
        <f t="shared" ca="1" si="437"/>
        <v>0</v>
      </c>
      <c r="V976" s="306">
        <f t="shared" ca="1" si="438"/>
        <v>1.2259152383275522</v>
      </c>
      <c r="W976" s="304">
        <f t="shared" ca="1" si="439"/>
        <v>49.511570365985243</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-0.1139663331027414</v>
      </c>
      <c r="AH976" s="304">
        <f t="shared" ca="1" si="463"/>
        <v>-9.9161877196184385</v>
      </c>
    </row>
    <row r="977" spans="1:34" x14ac:dyDescent="0.2">
      <c r="A977" s="347">
        <f t="shared" ca="1" si="441"/>
        <v>1E-4</v>
      </c>
      <c r="B977" s="304">
        <f t="shared" ca="1" si="442"/>
        <v>43.917400000000889</v>
      </c>
      <c r="D977" s="306">
        <f t="shared" ca="1" si="443"/>
        <v>-0.39480877953585736</v>
      </c>
      <c r="E977" s="307">
        <f t="shared" ca="1" si="444"/>
        <v>9.8334067109485446E-2</v>
      </c>
      <c r="F977" s="304">
        <f t="shared" ca="1" si="445"/>
        <v>0.40687044762784874</v>
      </c>
      <c r="G977" s="306">
        <f t="shared" ca="1" si="446"/>
        <v>4.4421142680892718</v>
      </c>
      <c r="H977" s="307">
        <f t="shared" ca="1" si="447"/>
        <v>-111.48267647861967</v>
      </c>
      <c r="I977" s="304">
        <f t="shared" ca="1" si="448"/>
        <v>111.57114113428858</v>
      </c>
      <c r="J977" s="306">
        <f t="shared" ca="1" si="449"/>
        <v>928.20926186620727</v>
      </c>
      <c r="K977" s="307">
        <f t="shared" ca="1" si="450"/>
        <v>-7.4796915554778112</v>
      </c>
      <c r="L977" s="304">
        <f t="shared" ca="1" si="435"/>
        <v>928.23939778484646</v>
      </c>
      <c r="M977" s="306">
        <f t="shared" ca="1" si="451"/>
        <v>-1.5309716136580604</v>
      </c>
      <c r="N977" s="304">
        <f t="shared" ca="1" si="452"/>
        <v>-87.718212016940086</v>
      </c>
      <c r="P977" s="310">
        <f t="shared" ca="1" si="453"/>
        <v>23</v>
      </c>
      <c r="Q977" s="304">
        <f t="shared" ca="1" si="454"/>
        <v>0</v>
      </c>
      <c r="R977" s="306">
        <f t="shared" ca="1" si="455"/>
        <v>0</v>
      </c>
      <c r="S977" s="307">
        <f t="shared" ca="1" si="456"/>
        <v>4.9929999999999914</v>
      </c>
      <c r="T977" s="304">
        <f t="shared" ca="1" si="436"/>
        <v>48.981329999999922</v>
      </c>
      <c r="U977" s="311">
        <f t="shared" ca="1" si="437"/>
        <v>0</v>
      </c>
      <c r="V977" s="306">
        <f t="shared" ca="1" si="438"/>
        <v>1.2259166050116843</v>
      </c>
      <c r="W977" s="304">
        <f t="shared" ca="1" si="439"/>
        <v>49.511615447161674</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-0.11397522539590099</v>
      </c>
      <c r="AH977" s="304">
        <f t="shared" ca="1" si="463"/>
        <v>-9.9161967486451683</v>
      </c>
    </row>
    <row r="978" spans="1:34" x14ac:dyDescent="0.2">
      <c r="A978" s="347">
        <f t="shared" ca="1" si="441"/>
        <v>1E-4</v>
      </c>
      <c r="B978" s="304">
        <f t="shared" ca="1" si="442"/>
        <v>43.917500000000892</v>
      </c>
      <c r="D978" s="306">
        <f t="shared" ca="1" si="443"/>
        <v>-0.39480567037148873</v>
      </c>
      <c r="E978" s="307">
        <f t="shared" ca="1" si="444"/>
        <v>9.8343227037556602E-2</v>
      </c>
      <c r="F978" s="304">
        <f t="shared" ca="1" si="445"/>
        <v>0.40686964455663316</v>
      </c>
      <c r="G978" s="306">
        <f t="shared" ca="1" si="446"/>
        <v>4.4420747875222348</v>
      </c>
      <c r="H978" s="307">
        <f t="shared" ca="1" si="447"/>
        <v>-111.48266664429696</v>
      </c>
      <c r="I978" s="304">
        <f t="shared" ca="1" si="448"/>
        <v>111.57112973588364</v>
      </c>
      <c r="J978" s="306">
        <f t="shared" ca="1" si="449"/>
        <v>928.20926186620727</v>
      </c>
      <c r="K978" s="307">
        <f t="shared" ca="1" si="450"/>
        <v>-7.4908398226339568</v>
      </c>
      <c r="L978" s="304">
        <f t="shared" ca="1" si="435"/>
        <v>928.23948768378602</v>
      </c>
      <c r="M978" s="306">
        <f t="shared" ca="1" si="451"/>
        <v>-1.5309719637281678</v>
      </c>
      <c r="N978" s="304">
        <f t="shared" ca="1" si="452"/>
        <v>-87.718232074479772</v>
      </c>
      <c r="P978" s="310">
        <f t="shared" ca="1" si="453"/>
        <v>23</v>
      </c>
      <c r="Q978" s="304">
        <f t="shared" ca="1" si="454"/>
        <v>0</v>
      </c>
      <c r="R978" s="306">
        <f t="shared" ca="1" si="455"/>
        <v>0</v>
      </c>
      <c r="S978" s="307">
        <f t="shared" ca="1" si="456"/>
        <v>4.9929999999999914</v>
      </c>
      <c r="T978" s="304">
        <f t="shared" ca="1" si="436"/>
        <v>48.981329999999922</v>
      </c>
      <c r="U978" s="311">
        <f t="shared" ca="1" si="437"/>
        <v>0</v>
      </c>
      <c r="V978" s="306">
        <f t="shared" ca="1" si="438"/>
        <v>1.2259179716972199</v>
      </c>
      <c r="W978" s="304">
        <f t="shared" ca="1" si="439"/>
        <v>49.511660527584041</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-0.11398411754043281</v>
      </c>
      <c r="AH978" s="304">
        <f t="shared" ca="1" si="463"/>
        <v>-9.9162057775208812</v>
      </c>
    </row>
    <row r="979" spans="1:34" x14ac:dyDescent="0.2">
      <c r="A979" s="347">
        <f t="shared" ca="1" si="441"/>
        <v>1E-4</v>
      </c>
      <c r="B979" s="304">
        <f t="shared" ca="1" si="442"/>
        <v>43.917600000000895</v>
      </c>
      <c r="D979" s="306">
        <f t="shared" ca="1" si="443"/>
        <v>-0.39480256122486157</v>
      </c>
      <c r="E979" s="307">
        <f t="shared" ca="1" si="444"/>
        <v>9.8352386812557313E-2</v>
      </c>
      <c r="F979" s="304">
        <f t="shared" ca="1" si="445"/>
        <v>0.40686884169402487</v>
      </c>
      <c r="G979" s="306">
        <f t="shared" ca="1" si="446"/>
        <v>4.4420353072661127</v>
      </c>
      <c r="H979" s="307">
        <f t="shared" ca="1" si="447"/>
        <v>-111.48265680905827</v>
      </c>
      <c r="I979" s="304">
        <f t="shared" ca="1" si="448"/>
        <v>111.57111833658954</v>
      </c>
      <c r="J979" s="306">
        <f t="shared" ca="1" si="449"/>
        <v>928.20926186620727</v>
      </c>
      <c r="K979" s="307">
        <f t="shared" ca="1" si="450"/>
        <v>-7.5019880888066242</v>
      </c>
      <c r="L979" s="304">
        <f t="shared" ca="1" si="435"/>
        <v>928.23957771660105</v>
      </c>
      <c r="M979" s="306">
        <f t="shared" ca="1" si="451"/>
        <v>-1.5309723137952354</v>
      </c>
      <c r="N979" s="304">
        <f t="shared" ca="1" si="452"/>
        <v>-87.71825213184529</v>
      </c>
      <c r="P979" s="310">
        <f t="shared" ca="1" si="453"/>
        <v>23</v>
      </c>
      <c r="Q979" s="304">
        <f t="shared" ca="1" si="454"/>
        <v>0</v>
      </c>
      <c r="R979" s="306">
        <f t="shared" ca="1" si="455"/>
        <v>0</v>
      </c>
      <c r="S979" s="307">
        <f t="shared" ca="1" si="456"/>
        <v>4.9929999999999914</v>
      </c>
      <c r="T979" s="304">
        <f t="shared" ca="1" si="436"/>
        <v>48.981329999999922</v>
      </c>
      <c r="U979" s="311">
        <f t="shared" ca="1" si="437"/>
        <v>0</v>
      </c>
      <c r="V979" s="306">
        <f t="shared" ca="1" si="438"/>
        <v>1.2259193383841593</v>
      </c>
      <c r="W979" s="304">
        <f t="shared" ca="1" si="439"/>
        <v>49.511705607252402</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-0.11399300953632618</v>
      </c>
      <c r="AH979" s="304">
        <f t="shared" ca="1" si="463"/>
        <v>-9.9162148062455682</v>
      </c>
    </row>
    <row r="980" spans="1:34" x14ac:dyDescent="0.2">
      <c r="A980" s="347">
        <f t="shared" ca="1" si="441"/>
        <v>1E-4</v>
      </c>
      <c r="B980" s="304">
        <f t="shared" ca="1" si="442"/>
        <v>43.917700000000899</v>
      </c>
      <c r="D980" s="306">
        <f t="shared" ca="1" si="443"/>
        <v>-0.39479945209597672</v>
      </c>
      <c r="E980" s="307">
        <f t="shared" ca="1" si="444"/>
        <v>9.8361546434505343E-2</v>
      </c>
      <c r="F980" s="304">
        <f t="shared" ca="1" si="445"/>
        <v>0.40686803904001939</v>
      </c>
      <c r="G980" s="306">
        <f t="shared" ca="1" si="446"/>
        <v>4.4419958273209028</v>
      </c>
      <c r="H980" s="307">
        <f t="shared" ca="1" si="447"/>
        <v>-111.48264697290362</v>
      </c>
      <c r="I980" s="304">
        <f t="shared" ca="1" si="448"/>
        <v>111.57110693640622</v>
      </c>
      <c r="J980" s="306">
        <f t="shared" ca="1" si="449"/>
        <v>928.20926186620727</v>
      </c>
      <c r="K980" s="307">
        <f t="shared" ca="1" si="450"/>
        <v>-7.5131363539957219</v>
      </c>
      <c r="L980" s="304">
        <f t="shared" ca="1" si="435"/>
        <v>928.23966788329142</v>
      </c>
      <c r="M980" s="306">
        <f t="shared" ca="1" si="451"/>
        <v>-1.5309726638592631</v>
      </c>
      <c r="N980" s="304">
        <f t="shared" ca="1" si="452"/>
        <v>-87.718272189036639</v>
      </c>
      <c r="P980" s="310">
        <f t="shared" ca="1" si="453"/>
        <v>23</v>
      </c>
      <c r="Q980" s="304">
        <f t="shared" ca="1" si="454"/>
        <v>0</v>
      </c>
      <c r="R980" s="306">
        <f t="shared" ca="1" si="455"/>
        <v>0</v>
      </c>
      <c r="S980" s="307">
        <f t="shared" ca="1" si="456"/>
        <v>4.9929999999999914</v>
      </c>
      <c r="T980" s="304">
        <f t="shared" ca="1" si="436"/>
        <v>48.981329999999922</v>
      </c>
      <c r="U980" s="311">
        <f t="shared" ca="1" si="437"/>
        <v>0</v>
      </c>
      <c r="V980" s="306">
        <f t="shared" ca="1" si="438"/>
        <v>1.2259207050725021</v>
      </c>
      <c r="W980" s="304">
        <f t="shared" ca="1" si="439"/>
        <v>49.511750686166721</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-0.11400190138359889</v>
      </c>
      <c r="AH980" s="304">
        <f t="shared" ca="1" si="463"/>
        <v>-9.9162238348192435</v>
      </c>
    </row>
    <row r="981" spans="1:34" x14ac:dyDescent="0.2">
      <c r="A981" s="347">
        <f t="shared" ca="1" si="441"/>
        <v>1E-4</v>
      </c>
      <c r="B981" s="304">
        <f t="shared" ca="1" si="442"/>
        <v>43.917800000000902</v>
      </c>
      <c r="D981" s="306">
        <f t="shared" ca="1" si="443"/>
        <v>-0.39479634298483413</v>
      </c>
      <c r="E981" s="307">
        <f t="shared" ca="1" si="444"/>
        <v>9.8370705903390032E-2</v>
      </c>
      <c r="F981" s="304">
        <f t="shared" ca="1" si="445"/>
        <v>0.40686723659460472</v>
      </c>
      <c r="G981" s="306">
        <f t="shared" ca="1" si="446"/>
        <v>4.4419563476866042</v>
      </c>
      <c r="H981" s="307">
        <f t="shared" ca="1" si="447"/>
        <v>-111.48263713583303</v>
      </c>
      <c r="I981" s="304">
        <f t="shared" ca="1" si="448"/>
        <v>111.57109553533375</v>
      </c>
      <c r="J981" s="306">
        <f t="shared" ca="1" si="449"/>
        <v>928.20926186620727</v>
      </c>
      <c r="K981" s="307">
        <f t="shared" ca="1" si="450"/>
        <v>-7.5242846182011585</v>
      </c>
      <c r="L981" s="304">
        <f t="shared" ca="1" si="435"/>
        <v>928.23975818385679</v>
      </c>
      <c r="M981" s="306">
        <f t="shared" ca="1" si="451"/>
        <v>-1.5309730139202513</v>
      </c>
      <c r="N981" s="304">
        <f t="shared" ca="1" si="452"/>
        <v>-87.718292246053835</v>
      </c>
      <c r="P981" s="310">
        <f t="shared" ca="1" si="453"/>
        <v>23</v>
      </c>
      <c r="Q981" s="304">
        <f t="shared" ca="1" si="454"/>
        <v>0</v>
      </c>
      <c r="R981" s="306">
        <f t="shared" ca="1" si="455"/>
        <v>0</v>
      </c>
      <c r="S981" s="307">
        <f t="shared" ca="1" si="456"/>
        <v>4.9929999999999914</v>
      </c>
      <c r="T981" s="304">
        <f t="shared" ca="1" si="436"/>
        <v>48.981329999999922</v>
      </c>
      <c r="U981" s="311">
        <f t="shared" ca="1" si="437"/>
        <v>0</v>
      </c>
      <c r="V981" s="306">
        <f t="shared" ca="1" si="438"/>
        <v>1.2259220717622485</v>
      </c>
      <c r="W981" s="304">
        <f t="shared" ca="1" si="439"/>
        <v>49.51179576432704</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-0.11401079308224027</v>
      </c>
      <c r="AH981" s="304">
        <f t="shared" ca="1" si="463"/>
        <v>-9.9162328632419001</v>
      </c>
    </row>
    <row r="982" spans="1:34" x14ac:dyDescent="0.2">
      <c r="A982" s="347">
        <f t="shared" ca="1" si="441"/>
        <v>1E-4</v>
      </c>
      <c r="B982" s="304">
        <f t="shared" ca="1" si="442"/>
        <v>43.917900000000905</v>
      </c>
      <c r="D982" s="306">
        <f t="shared" ca="1" si="443"/>
        <v>-0.39479323389143206</v>
      </c>
      <c r="E982" s="307">
        <f t="shared" ca="1" si="444"/>
        <v>9.8379865219218487E-2</v>
      </c>
      <c r="F982" s="304">
        <f t="shared" ca="1" si="445"/>
        <v>0.40686643435777126</v>
      </c>
      <c r="G982" s="306">
        <f t="shared" ca="1" si="446"/>
        <v>4.4419168683632151</v>
      </c>
      <c r="H982" s="307">
        <f t="shared" ca="1" si="447"/>
        <v>-111.48262729784651</v>
      </c>
      <c r="I982" s="304">
        <f t="shared" ca="1" si="448"/>
        <v>111.57108413337212</v>
      </c>
      <c r="J982" s="306">
        <f t="shared" ca="1" si="449"/>
        <v>928.20926186620727</v>
      </c>
      <c r="K982" s="307">
        <f t="shared" ca="1" si="450"/>
        <v>-7.5354328814228424</v>
      </c>
      <c r="L982" s="304">
        <f t="shared" ca="1" si="435"/>
        <v>928.23984861829751</v>
      </c>
      <c r="M982" s="306">
        <f t="shared" ca="1" si="451"/>
        <v>-1.5309733639781995</v>
      </c>
      <c r="N982" s="304">
        <f t="shared" ca="1" si="452"/>
        <v>-87.718312302896848</v>
      </c>
      <c r="P982" s="310">
        <f t="shared" ca="1" si="453"/>
        <v>23</v>
      </c>
      <c r="Q982" s="304">
        <f t="shared" ca="1" si="454"/>
        <v>0</v>
      </c>
      <c r="R982" s="306">
        <f t="shared" ca="1" si="455"/>
        <v>0</v>
      </c>
      <c r="S982" s="307">
        <f t="shared" ca="1" si="456"/>
        <v>4.9929999999999914</v>
      </c>
      <c r="T982" s="304">
        <f t="shared" ca="1" si="436"/>
        <v>48.981329999999922</v>
      </c>
      <c r="U982" s="311">
        <f t="shared" ca="1" si="437"/>
        <v>0</v>
      </c>
      <c r="V982" s="306">
        <f t="shared" ca="1" si="438"/>
        <v>1.2259234384533988</v>
      </c>
      <c r="W982" s="304">
        <f t="shared" ca="1" si="439"/>
        <v>49.511840841733374</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-0.11401968463225742</v>
      </c>
      <c r="AH982" s="304">
        <f t="shared" ca="1" si="463"/>
        <v>-9.9162418915135433</v>
      </c>
    </row>
    <row r="983" spans="1:34" x14ac:dyDescent="0.2">
      <c r="A983" s="347">
        <f t="shared" ca="1" si="441"/>
        <v>1E-4</v>
      </c>
      <c r="B983" s="304">
        <f t="shared" ca="1" si="442"/>
        <v>43.918000000000909</v>
      </c>
      <c r="D983" s="306">
        <f t="shared" ca="1" si="443"/>
        <v>-0.39479012481577541</v>
      </c>
      <c r="E983" s="307">
        <f t="shared" ca="1" si="444"/>
        <v>9.8389024381997814E-2</v>
      </c>
      <c r="F983" s="304">
        <f t="shared" ca="1" si="445"/>
        <v>0.406865632329516</v>
      </c>
      <c r="G983" s="306">
        <f t="shared" ca="1" si="446"/>
        <v>4.4418773893507337</v>
      </c>
      <c r="H983" s="307">
        <f t="shared" ca="1" si="447"/>
        <v>-111.48261745894406</v>
      </c>
      <c r="I983" s="304">
        <f t="shared" ca="1" si="448"/>
        <v>111.57107273052135</v>
      </c>
      <c r="J983" s="306">
        <f t="shared" ca="1" si="449"/>
        <v>928.20926186620727</v>
      </c>
      <c r="K983" s="307">
        <f t="shared" ca="1" si="450"/>
        <v>-7.5465811436606822</v>
      </c>
      <c r="L983" s="304">
        <f t="shared" ca="1" si="435"/>
        <v>928.23993918661301</v>
      </c>
      <c r="M983" s="306">
        <f t="shared" ca="1" si="451"/>
        <v>-1.5309737140331081</v>
      </c>
      <c r="N983" s="304">
        <f t="shared" ca="1" si="452"/>
        <v>-87.718332359565707</v>
      </c>
      <c r="P983" s="310">
        <f t="shared" ca="1" si="453"/>
        <v>23</v>
      </c>
      <c r="Q983" s="304">
        <f t="shared" ca="1" si="454"/>
        <v>0</v>
      </c>
      <c r="R983" s="306">
        <f t="shared" ca="1" si="455"/>
        <v>0</v>
      </c>
      <c r="S983" s="307">
        <f t="shared" ca="1" si="456"/>
        <v>4.9929999999999914</v>
      </c>
      <c r="T983" s="304">
        <f t="shared" ca="1" si="436"/>
        <v>48.981329999999922</v>
      </c>
      <c r="U983" s="311">
        <f t="shared" ca="1" si="437"/>
        <v>0</v>
      </c>
      <c r="V983" s="306">
        <f t="shared" ca="1" si="438"/>
        <v>1.2259248051459526</v>
      </c>
      <c r="W983" s="304">
        <f t="shared" ca="1" si="439"/>
        <v>49.511885918385694</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-0.11402857603365391</v>
      </c>
      <c r="AH983" s="304">
        <f t="shared" ca="1" si="463"/>
        <v>-9.9162509196341801</v>
      </c>
    </row>
    <row r="984" spans="1:34" x14ac:dyDescent="0.2">
      <c r="A984" s="347">
        <f t="shared" ca="1" si="441"/>
        <v>1E-4</v>
      </c>
      <c r="B984" s="304">
        <f t="shared" ca="1" si="442"/>
        <v>43.918100000000912</v>
      </c>
      <c r="D984" s="306">
        <f t="shared" ca="1" si="443"/>
        <v>-0.39478701575785968</v>
      </c>
      <c r="E984" s="307">
        <f t="shared" ca="1" si="444"/>
        <v>9.8398183391720906E-2</v>
      </c>
      <c r="F984" s="304">
        <f t="shared" ca="1" si="445"/>
        <v>0.40686483050982336</v>
      </c>
      <c r="G984" s="306">
        <f t="shared" ca="1" si="446"/>
        <v>4.4418379106491583</v>
      </c>
      <c r="H984" s="307">
        <f t="shared" ca="1" si="447"/>
        <v>-111.48260761912573</v>
      </c>
      <c r="I984" s="304">
        <f t="shared" ca="1" si="448"/>
        <v>111.57106132678146</v>
      </c>
      <c r="J984" s="306">
        <f t="shared" ca="1" si="449"/>
        <v>928.20926186620727</v>
      </c>
      <c r="K984" s="307">
        <f t="shared" ca="1" si="450"/>
        <v>-7.5577294049145856</v>
      </c>
      <c r="L984" s="304">
        <f t="shared" ca="1" si="435"/>
        <v>928.24002988880375</v>
      </c>
      <c r="M984" s="306">
        <f t="shared" ca="1" si="451"/>
        <v>-1.5309740640849772</v>
      </c>
      <c r="N984" s="304">
        <f t="shared" ca="1" si="452"/>
        <v>-87.718352416060412</v>
      </c>
      <c r="P984" s="310">
        <f t="shared" ca="1" si="453"/>
        <v>23</v>
      </c>
      <c r="Q984" s="304">
        <f t="shared" ca="1" si="454"/>
        <v>0</v>
      </c>
      <c r="R984" s="306">
        <f t="shared" ca="1" si="455"/>
        <v>0</v>
      </c>
      <c r="S984" s="307">
        <f t="shared" ca="1" si="456"/>
        <v>4.9929999999999914</v>
      </c>
      <c r="T984" s="304">
        <f t="shared" ca="1" si="436"/>
        <v>48.981329999999922</v>
      </c>
      <c r="U984" s="311">
        <f t="shared" ca="1" si="437"/>
        <v>0</v>
      </c>
      <c r="V984" s="306">
        <f t="shared" ca="1" si="438"/>
        <v>1.2259261718399095</v>
      </c>
      <c r="W984" s="304">
        <f t="shared" ca="1" si="439"/>
        <v>49.511930994284043</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-0.11403746728642439</v>
      </c>
      <c r="AH984" s="304">
        <f t="shared" ca="1" si="463"/>
        <v>-9.9162599476038018</v>
      </c>
    </row>
    <row r="985" spans="1:34" x14ac:dyDescent="0.2">
      <c r="A985" s="347">
        <f t="shared" ca="1" si="441"/>
        <v>1E-4</v>
      </c>
      <c r="B985" s="304">
        <f t="shared" ca="1" si="442"/>
        <v>43.918200000000915</v>
      </c>
      <c r="D985" s="306">
        <f t="shared" ca="1" si="443"/>
        <v>-0.39478390671768548</v>
      </c>
      <c r="E985" s="307">
        <f t="shared" ca="1" si="444"/>
        <v>9.8407342248393093E-2</v>
      </c>
      <c r="F985" s="304">
        <f t="shared" ca="1" si="445"/>
        <v>0.40686402889868573</v>
      </c>
      <c r="G985" s="306">
        <f t="shared" ca="1" si="446"/>
        <v>4.4417984322584863</v>
      </c>
      <c r="H985" s="307">
        <f t="shared" ca="1" si="447"/>
        <v>-111.48259777839151</v>
      </c>
      <c r="I985" s="304">
        <f t="shared" ca="1" si="448"/>
        <v>111.57104992215245</v>
      </c>
      <c r="J985" s="306">
        <f t="shared" ca="1" si="449"/>
        <v>928.20926186620727</v>
      </c>
      <c r="K985" s="307">
        <f t="shared" ca="1" si="450"/>
        <v>-7.5688776651844618</v>
      </c>
      <c r="L985" s="304">
        <f t="shared" ca="1" si="435"/>
        <v>928.24012072486926</v>
      </c>
      <c r="M985" s="306">
        <f t="shared" ca="1" si="451"/>
        <v>-1.5309744141338064</v>
      </c>
      <c r="N985" s="304">
        <f t="shared" ca="1" si="452"/>
        <v>-87.718372472380963</v>
      </c>
      <c r="P985" s="310">
        <f t="shared" ca="1" si="453"/>
        <v>23</v>
      </c>
      <c r="Q985" s="304">
        <f t="shared" ca="1" si="454"/>
        <v>0</v>
      </c>
      <c r="R985" s="306">
        <f t="shared" ca="1" si="455"/>
        <v>0</v>
      </c>
      <c r="S985" s="307">
        <f t="shared" ca="1" si="456"/>
        <v>4.9929999999999914</v>
      </c>
      <c r="T985" s="304">
        <f t="shared" ca="1" si="436"/>
        <v>48.981329999999922</v>
      </c>
      <c r="U985" s="311">
        <f t="shared" ca="1" si="437"/>
        <v>0</v>
      </c>
      <c r="V985" s="306">
        <f t="shared" ca="1" si="438"/>
        <v>1.2259275385352704</v>
      </c>
      <c r="W985" s="304">
        <f t="shared" ca="1" si="439"/>
        <v>49.511976069428421</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-0.11404635839057775</v>
      </c>
      <c r="AH985" s="304">
        <f t="shared" ca="1" si="463"/>
        <v>-9.9162689754224171</v>
      </c>
    </row>
    <row r="986" spans="1:34" x14ac:dyDescent="0.2">
      <c r="A986" s="347">
        <f t="shared" ca="1" si="441"/>
        <v>1E-4</v>
      </c>
      <c r="B986" s="304">
        <f t="shared" ca="1" si="442"/>
        <v>43.918300000000919</v>
      </c>
      <c r="D986" s="306">
        <f t="shared" ca="1" si="443"/>
        <v>-0.39478079769525537</v>
      </c>
      <c r="E986" s="307">
        <f t="shared" ca="1" si="444"/>
        <v>9.8416500952017927E-2</v>
      </c>
      <c r="F986" s="304">
        <f t="shared" ca="1" si="445"/>
        <v>0.40686322749609688</v>
      </c>
      <c r="G986" s="306">
        <f t="shared" ca="1" si="446"/>
        <v>4.4417589541787166</v>
      </c>
      <c r="H986" s="307">
        <f t="shared" ca="1" si="447"/>
        <v>-111.48258793674141</v>
      </c>
      <c r="I986" s="304">
        <f t="shared" ca="1" si="448"/>
        <v>111.57103851663436</v>
      </c>
      <c r="J986" s="306">
        <f t="shared" ca="1" si="449"/>
        <v>928.20926186620727</v>
      </c>
      <c r="K986" s="307">
        <f t="shared" ca="1" si="450"/>
        <v>-7.5800259244702186</v>
      </c>
      <c r="L986" s="304">
        <f t="shared" ca="1" si="435"/>
        <v>928.24021169480955</v>
      </c>
      <c r="M986" s="306">
        <f t="shared" ca="1" si="451"/>
        <v>-1.5309747641795961</v>
      </c>
      <c r="N986" s="304">
        <f t="shared" ca="1" si="452"/>
        <v>-87.718392528527346</v>
      </c>
      <c r="P986" s="310">
        <f t="shared" ca="1" si="453"/>
        <v>23</v>
      </c>
      <c r="Q986" s="304">
        <f t="shared" ca="1" si="454"/>
        <v>0</v>
      </c>
      <c r="R986" s="306">
        <f t="shared" ca="1" si="455"/>
        <v>0</v>
      </c>
      <c r="S986" s="307">
        <f t="shared" ca="1" si="456"/>
        <v>4.9929999999999914</v>
      </c>
      <c r="T986" s="304">
        <f t="shared" ca="1" si="436"/>
        <v>48.981329999999922</v>
      </c>
      <c r="U986" s="311">
        <f t="shared" ca="1" si="437"/>
        <v>0</v>
      </c>
      <c r="V986" s="306">
        <f t="shared" ca="1" si="438"/>
        <v>1.2259289052320348</v>
      </c>
      <c r="W986" s="304">
        <f t="shared" ca="1" si="439"/>
        <v>49.512021143818849</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-0.11405524934611577</v>
      </c>
      <c r="AH986" s="304">
        <f t="shared" ca="1" si="463"/>
        <v>-9.9162780030900279</v>
      </c>
    </row>
    <row r="987" spans="1:34" x14ac:dyDescent="0.2">
      <c r="A987" s="347">
        <f t="shared" ca="1" si="441"/>
        <v>1E-4</v>
      </c>
      <c r="B987" s="304">
        <f t="shared" ca="1" si="442"/>
        <v>43.918400000000922</v>
      </c>
      <c r="D987" s="306">
        <f t="shared" ca="1" si="443"/>
        <v>-0.39477768869056745</v>
      </c>
      <c r="E987" s="307">
        <f t="shared" ca="1" si="444"/>
        <v>9.8425659502598961E-2</v>
      </c>
      <c r="F987" s="304">
        <f t="shared" ca="1" si="445"/>
        <v>0.40686242630204639</v>
      </c>
      <c r="G987" s="306">
        <f t="shared" ca="1" si="446"/>
        <v>4.4417194764098475</v>
      </c>
      <c r="H987" s="307">
        <f t="shared" ca="1" si="447"/>
        <v>-111.48257809417547</v>
      </c>
      <c r="I987" s="304">
        <f t="shared" ca="1" si="448"/>
        <v>111.57102711022719</v>
      </c>
      <c r="J987" s="306">
        <f t="shared" ca="1" si="449"/>
        <v>928.20926186620727</v>
      </c>
      <c r="K987" s="307">
        <f t="shared" ca="1" si="450"/>
        <v>-7.5911741827717645</v>
      </c>
      <c r="L987" s="304">
        <f t="shared" ca="1" si="435"/>
        <v>928.24030279862473</v>
      </c>
      <c r="M987" s="306">
        <f t="shared" ca="1" si="451"/>
        <v>-1.530975114222346</v>
      </c>
      <c r="N987" s="304">
        <f t="shared" ca="1" si="452"/>
        <v>-87.718412584499561</v>
      </c>
      <c r="P987" s="310">
        <f t="shared" ca="1" si="453"/>
        <v>23</v>
      </c>
      <c r="Q987" s="304">
        <f t="shared" ca="1" si="454"/>
        <v>0</v>
      </c>
      <c r="R987" s="306">
        <f t="shared" ca="1" si="455"/>
        <v>0</v>
      </c>
      <c r="S987" s="307">
        <f t="shared" ca="1" si="456"/>
        <v>4.9929999999999914</v>
      </c>
      <c r="T987" s="304">
        <f t="shared" ca="1" si="436"/>
        <v>48.981329999999922</v>
      </c>
      <c r="U987" s="311">
        <f t="shared" ca="1" si="437"/>
        <v>0</v>
      </c>
      <c r="V987" s="306">
        <f t="shared" ca="1" si="438"/>
        <v>1.2259302719302028</v>
      </c>
      <c r="W987" s="304">
        <f t="shared" ca="1" si="439"/>
        <v>49.512066217455356</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-0.11406414015303845</v>
      </c>
      <c r="AH987" s="304">
        <f t="shared" ca="1" si="463"/>
        <v>-9.916287030606636</v>
      </c>
    </row>
    <row r="988" spans="1:34" x14ac:dyDescent="0.2">
      <c r="A988" s="347">
        <f t="shared" ca="1" si="441"/>
        <v>1E-4</v>
      </c>
      <c r="B988" s="304">
        <f t="shared" ca="1" si="442"/>
        <v>43.918500000000925</v>
      </c>
      <c r="D988" s="306">
        <f t="shared" ca="1" si="443"/>
        <v>-0.39477457970362434</v>
      </c>
      <c r="E988" s="307">
        <f t="shared" ca="1" si="444"/>
        <v>9.8434817900141525E-2</v>
      </c>
      <c r="F988" s="304">
        <f t="shared" ca="1" si="445"/>
        <v>0.40686162531652853</v>
      </c>
      <c r="G988" s="306">
        <f t="shared" ca="1" si="446"/>
        <v>4.4416799989518774</v>
      </c>
      <c r="H988" s="307">
        <f t="shared" ca="1" si="447"/>
        <v>-111.48256825069367</v>
      </c>
      <c r="I988" s="304">
        <f t="shared" ca="1" si="448"/>
        <v>111.57101570293094</v>
      </c>
      <c r="J988" s="306">
        <f t="shared" ca="1" si="449"/>
        <v>928.20926186620727</v>
      </c>
      <c r="K988" s="307">
        <f t="shared" ca="1" si="450"/>
        <v>-7.6023224400890079</v>
      </c>
      <c r="L988" s="304">
        <f t="shared" ca="1" si="435"/>
        <v>928.24039403631446</v>
      </c>
      <c r="M988" s="306">
        <f t="shared" ca="1" si="451"/>
        <v>-1.5309754642620566</v>
      </c>
      <c r="N988" s="304">
        <f t="shared" ca="1" si="452"/>
        <v>-87.718432640297635</v>
      </c>
      <c r="P988" s="310">
        <f t="shared" ca="1" si="453"/>
        <v>23</v>
      </c>
      <c r="Q988" s="304">
        <f t="shared" ca="1" si="454"/>
        <v>0</v>
      </c>
      <c r="R988" s="306">
        <f t="shared" ca="1" si="455"/>
        <v>0</v>
      </c>
      <c r="S988" s="307">
        <f t="shared" ca="1" si="456"/>
        <v>4.9929999999999914</v>
      </c>
      <c r="T988" s="304">
        <f t="shared" ca="1" si="436"/>
        <v>48.981329999999922</v>
      </c>
      <c r="U988" s="311">
        <f t="shared" ca="1" si="437"/>
        <v>0</v>
      </c>
      <c r="V988" s="306">
        <f t="shared" ca="1" si="438"/>
        <v>1.2259316386297741</v>
      </c>
      <c r="W988" s="304">
        <f t="shared" ca="1" si="439"/>
        <v>49.51211129033787</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-0.11407303081135467</v>
      </c>
      <c r="AH988" s="304">
        <f t="shared" ca="1" si="463"/>
        <v>-9.9162960579722501</v>
      </c>
    </row>
    <row r="989" spans="1:34" x14ac:dyDescent="0.2">
      <c r="A989" s="347">
        <f t="shared" ca="1" si="441"/>
        <v>1E-4</v>
      </c>
      <c r="B989" s="304">
        <f t="shared" ca="1" si="442"/>
        <v>43.918600000000929</v>
      </c>
      <c r="D989" s="306">
        <f t="shared" ca="1" si="443"/>
        <v>-0.39477147073442143</v>
      </c>
      <c r="E989" s="307">
        <f t="shared" ca="1" si="444"/>
        <v>9.844397614462963E-2</v>
      </c>
      <c r="F989" s="304">
        <f t="shared" ca="1" si="445"/>
        <v>0.40686082453952549</v>
      </c>
      <c r="G989" s="306">
        <f t="shared" ca="1" si="446"/>
        <v>4.4416405218048043</v>
      </c>
      <c r="H989" s="307">
        <f t="shared" ca="1" si="447"/>
        <v>-111.48255840629606</v>
      </c>
      <c r="I989" s="304">
        <f t="shared" ca="1" si="448"/>
        <v>111.57100429474565</v>
      </c>
      <c r="J989" s="306">
        <f t="shared" ca="1" si="449"/>
        <v>928.20926186620727</v>
      </c>
      <c r="K989" s="307">
        <f t="shared" ca="1" si="450"/>
        <v>-7.6134706964218575</v>
      </c>
      <c r="L989" s="304">
        <f t="shared" ca="1" si="435"/>
        <v>928.24048540787885</v>
      </c>
      <c r="M989" s="306">
        <f t="shared" ca="1" si="451"/>
        <v>-1.5309758142987275</v>
      </c>
      <c r="N989" s="304">
        <f t="shared" ca="1" si="452"/>
        <v>-87.718452695921556</v>
      </c>
      <c r="P989" s="310">
        <f t="shared" ca="1" si="453"/>
        <v>23</v>
      </c>
      <c r="Q989" s="304">
        <f t="shared" ca="1" si="454"/>
        <v>0</v>
      </c>
      <c r="R989" s="306">
        <f t="shared" ca="1" si="455"/>
        <v>0</v>
      </c>
      <c r="S989" s="307">
        <f t="shared" ca="1" si="456"/>
        <v>4.9929999999999914</v>
      </c>
      <c r="T989" s="304">
        <f t="shared" ca="1" si="436"/>
        <v>48.981329999999922</v>
      </c>
      <c r="U989" s="311">
        <f t="shared" ca="1" si="437"/>
        <v>0</v>
      </c>
      <c r="V989" s="306">
        <f t="shared" ca="1" si="438"/>
        <v>1.2259330053307491</v>
      </c>
      <c r="W989" s="304">
        <f t="shared" ca="1" si="439"/>
        <v>49.512156362466492</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-0.11408192132104844</v>
      </c>
      <c r="AH989" s="304">
        <f t="shared" ca="1" si="463"/>
        <v>-9.9163050851868526</v>
      </c>
    </row>
    <row r="990" spans="1:34" x14ac:dyDescent="0.2">
      <c r="A990" s="347">
        <f t="shared" ca="1" si="441"/>
        <v>1E-4</v>
      </c>
      <c r="B990" s="304">
        <f t="shared" ca="1" si="442"/>
        <v>43.918700000000932</v>
      </c>
      <c r="D990" s="306">
        <f t="shared" ca="1" si="443"/>
        <v>-0.39476836178296193</v>
      </c>
      <c r="E990" s="307">
        <f t="shared" ca="1" si="444"/>
        <v>9.845313423608637E-2</v>
      </c>
      <c r="F990" s="304">
        <f t="shared" ca="1" si="445"/>
        <v>0.40686002397103643</v>
      </c>
      <c r="G990" s="306">
        <f t="shared" ca="1" si="446"/>
        <v>4.4416010449686256</v>
      </c>
      <c r="H990" s="307">
        <f t="shared" ca="1" si="447"/>
        <v>-111.48254856098264</v>
      </c>
      <c r="I990" s="304">
        <f t="shared" ca="1" si="448"/>
        <v>111.5709928856713</v>
      </c>
      <c r="J990" s="306">
        <f t="shared" ca="1" si="449"/>
        <v>928.20926186620727</v>
      </c>
      <c r="K990" s="307">
        <f t="shared" ca="1" si="450"/>
        <v>-7.6246189517702216</v>
      </c>
      <c r="L990" s="304">
        <f t="shared" ca="1" si="435"/>
        <v>928.2405769133178</v>
      </c>
      <c r="M990" s="306">
        <f t="shared" ca="1" si="451"/>
        <v>-1.5309761643323589</v>
      </c>
      <c r="N990" s="304">
        <f t="shared" ca="1" si="452"/>
        <v>-87.718472751371323</v>
      </c>
      <c r="P990" s="310">
        <f t="shared" ca="1" si="453"/>
        <v>23</v>
      </c>
      <c r="Q990" s="304">
        <f t="shared" ca="1" si="454"/>
        <v>0</v>
      </c>
      <c r="R990" s="306">
        <f t="shared" ca="1" si="455"/>
        <v>0</v>
      </c>
      <c r="S990" s="307">
        <f t="shared" ca="1" si="456"/>
        <v>4.9929999999999914</v>
      </c>
      <c r="T990" s="304">
        <f t="shared" ca="1" si="436"/>
        <v>48.981329999999922</v>
      </c>
      <c r="U990" s="311">
        <f t="shared" ca="1" si="437"/>
        <v>0</v>
      </c>
      <c r="V990" s="306">
        <f t="shared" ca="1" si="438"/>
        <v>1.2259343720331275</v>
      </c>
      <c r="W990" s="304">
        <f t="shared" ca="1" si="439"/>
        <v>49.51220143384117</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-0.11409081168214108</v>
      </c>
      <c r="AH990" s="304">
        <f t="shared" ca="1" si="463"/>
        <v>-9.9163141122504666</v>
      </c>
    </row>
    <row r="991" spans="1:34" x14ac:dyDescent="0.2">
      <c r="A991" s="347">
        <f t="shared" ca="1" si="441"/>
        <v>1E-4</v>
      </c>
      <c r="B991" s="304">
        <f t="shared" ca="1" si="442"/>
        <v>43.918800000000935</v>
      </c>
      <c r="D991" s="306">
        <f t="shared" ca="1" si="443"/>
        <v>-0.39476525284924552</v>
      </c>
      <c r="E991" s="307">
        <f t="shared" ca="1" si="444"/>
        <v>9.8462292174501087E-2</v>
      </c>
      <c r="F991" s="304">
        <f t="shared" ca="1" si="445"/>
        <v>0.40685922361104898</v>
      </c>
      <c r="G991" s="306">
        <f t="shared" ca="1" si="446"/>
        <v>4.4415615684433405</v>
      </c>
      <c r="H991" s="307">
        <f t="shared" ca="1" si="447"/>
        <v>-111.48253871475342</v>
      </c>
      <c r="I991" s="304">
        <f t="shared" ca="1" si="448"/>
        <v>111.57098147570795</v>
      </c>
      <c r="J991" s="306">
        <f t="shared" ca="1" si="449"/>
        <v>928.20926186620727</v>
      </c>
      <c r="K991" s="307">
        <f t="shared" ca="1" si="450"/>
        <v>-7.6357672061340081</v>
      </c>
      <c r="L991" s="304">
        <f t="shared" ca="1" si="435"/>
        <v>928.24066855263106</v>
      </c>
      <c r="M991" s="306">
        <f t="shared" ca="1" si="451"/>
        <v>-1.530976514362951</v>
      </c>
      <c r="N991" s="304">
        <f t="shared" ca="1" si="452"/>
        <v>-87.71849280664695</v>
      </c>
      <c r="P991" s="310">
        <f t="shared" ca="1" si="453"/>
        <v>23</v>
      </c>
      <c r="Q991" s="304">
        <f t="shared" ca="1" si="454"/>
        <v>0</v>
      </c>
      <c r="R991" s="306">
        <f t="shared" ca="1" si="455"/>
        <v>0</v>
      </c>
      <c r="S991" s="307">
        <f t="shared" ca="1" si="456"/>
        <v>4.9929999999999914</v>
      </c>
      <c r="T991" s="304">
        <f t="shared" ca="1" si="436"/>
        <v>48.981329999999922</v>
      </c>
      <c r="U991" s="311">
        <f t="shared" ca="1" si="437"/>
        <v>0</v>
      </c>
      <c r="V991" s="306">
        <f t="shared" ca="1" si="438"/>
        <v>1.2259357387369096</v>
      </c>
      <c r="W991" s="304">
        <f t="shared" ca="1" si="439"/>
        <v>49.512246504461977</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-0.11409970189462193</v>
      </c>
      <c r="AH991" s="304">
        <f t="shared" ca="1" si="463"/>
        <v>-9.9163231391630795</v>
      </c>
    </row>
    <row r="992" spans="1:34" x14ac:dyDescent="0.2">
      <c r="A992" s="347">
        <f t="shared" ca="1" si="441"/>
        <v>1E-4</v>
      </c>
      <c r="B992" s="304">
        <f t="shared" ca="1" si="442"/>
        <v>43.918900000000939</v>
      </c>
      <c r="D992" s="306">
        <f t="shared" ca="1" si="443"/>
        <v>-0.39476214393327114</v>
      </c>
      <c r="E992" s="307">
        <f t="shared" ca="1" si="444"/>
        <v>9.8471449959887991E-2</v>
      </c>
      <c r="F992" s="304">
        <f t="shared" ca="1" si="445"/>
        <v>0.40685842345955603</v>
      </c>
      <c r="G992" s="306">
        <f t="shared" ca="1" si="446"/>
        <v>4.4415220922289471</v>
      </c>
      <c r="H992" s="307">
        <f t="shared" ca="1" si="447"/>
        <v>-111.48252886760842</v>
      </c>
      <c r="I992" s="304">
        <f t="shared" ca="1" si="448"/>
        <v>111.57097006485559</v>
      </c>
      <c r="J992" s="306">
        <f t="shared" ca="1" si="449"/>
        <v>928.20926186620727</v>
      </c>
      <c r="K992" s="307">
        <f t="shared" ca="1" si="450"/>
        <v>-7.6469154595131261</v>
      </c>
      <c r="L992" s="304">
        <f t="shared" ca="1" si="435"/>
        <v>928.24076032581888</v>
      </c>
      <c r="M992" s="306">
        <f t="shared" ca="1" si="451"/>
        <v>-1.5309768643905037</v>
      </c>
      <c r="N992" s="304">
        <f t="shared" ca="1" si="452"/>
        <v>-87.718512861748437</v>
      </c>
      <c r="P992" s="310">
        <f t="shared" ca="1" si="453"/>
        <v>23</v>
      </c>
      <c r="Q992" s="304">
        <f t="shared" ca="1" si="454"/>
        <v>0</v>
      </c>
      <c r="R992" s="306">
        <f t="shared" ca="1" si="455"/>
        <v>0</v>
      </c>
      <c r="S992" s="307">
        <f t="shared" ca="1" si="456"/>
        <v>4.9929999999999914</v>
      </c>
      <c r="T992" s="304">
        <f t="shared" ca="1" si="436"/>
        <v>48.981329999999922</v>
      </c>
      <c r="U992" s="311">
        <f t="shared" ca="1" si="437"/>
        <v>0</v>
      </c>
      <c r="V992" s="306">
        <f t="shared" ca="1" si="438"/>
        <v>1.2259371054420953</v>
      </c>
      <c r="W992" s="304">
        <f t="shared" ca="1" si="439"/>
        <v>49.512291574328877</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-0.11410859195850342</v>
      </c>
      <c r="AH992" s="304">
        <f t="shared" ca="1" si="463"/>
        <v>-9.9163321659247075</v>
      </c>
    </row>
    <row r="993" spans="1:34" x14ac:dyDescent="0.2">
      <c r="A993" s="347">
        <f t="shared" ca="1" si="441"/>
        <v>1E-4</v>
      </c>
      <c r="B993" s="304">
        <f t="shared" ca="1" si="442"/>
        <v>43.919000000000942</v>
      </c>
      <c r="D993" s="306">
        <f t="shared" ca="1" si="443"/>
        <v>-0.3947590350350384</v>
      </c>
      <c r="E993" s="307">
        <f t="shared" ca="1" si="444"/>
        <v>9.8480607592238201E-2</v>
      </c>
      <c r="F993" s="304">
        <f t="shared" ca="1" si="445"/>
        <v>0.40685762351654547</v>
      </c>
      <c r="G993" s="306">
        <f t="shared" ca="1" si="446"/>
        <v>4.4414826163254437</v>
      </c>
      <c r="H993" s="307">
        <f t="shared" ca="1" si="447"/>
        <v>-111.48251901954767</v>
      </c>
      <c r="I993" s="304">
        <f t="shared" ca="1" si="448"/>
        <v>111.57095865311425</v>
      </c>
      <c r="J993" s="306">
        <f t="shared" ca="1" si="449"/>
        <v>928.20926186620727</v>
      </c>
      <c r="K993" s="307">
        <f t="shared" ca="1" si="450"/>
        <v>-7.6580637119074844</v>
      </c>
      <c r="L993" s="304">
        <f t="shared" ca="1" si="435"/>
        <v>928.24085223288091</v>
      </c>
      <c r="M993" s="306">
        <f t="shared" ca="1" si="451"/>
        <v>-1.5309772144150169</v>
      </c>
      <c r="N993" s="304">
        <f t="shared" ca="1" si="452"/>
        <v>-87.71853291667577</v>
      </c>
      <c r="P993" s="310">
        <f t="shared" ca="1" si="453"/>
        <v>23</v>
      </c>
      <c r="Q993" s="304">
        <f t="shared" ca="1" si="454"/>
        <v>0</v>
      </c>
      <c r="R993" s="306">
        <f t="shared" ca="1" si="455"/>
        <v>0</v>
      </c>
      <c r="S993" s="307">
        <f t="shared" ca="1" si="456"/>
        <v>4.9929999999999914</v>
      </c>
      <c r="T993" s="304">
        <f t="shared" ca="1" si="436"/>
        <v>48.981329999999922</v>
      </c>
      <c r="U993" s="311">
        <f t="shared" ca="1" si="437"/>
        <v>0</v>
      </c>
      <c r="V993" s="306">
        <f t="shared" ca="1" si="438"/>
        <v>1.2259384721486841</v>
      </c>
      <c r="W993" s="304">
        <f t="shared" ca="1" si="439"/>
        <v>49.512336643441884</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-0.11411748187378024</v>
      </c>
      <c r="AH993" s="304">
        <f t="shared" ca="1" si="463"/>
        <v>-9.9163411925353415</v>
      </c>
    </row>
    <row r="994" spans="1:34" x14ac:dyDescent="0.2">
      <c r="A994" s="347">
        <f t="shared" ca="1" si="441"/>
        <v>1E-4</v>
      </c>
      <c r="B994" s="304">
        <f t="shared" ca="1" si="442"/>
        <v>43.919100000000945</v>
      </c>
      <c r="D994" s="306">
        <f t="shared" ca="1" si="443"/>
        <v>-0.39475592615455007</v>
      </c>
      <c r="E994" s="307">
        <f t="shared" ca="1" si="444"/>
        <v>9.8489765071557045E-2</v>
      </c>
      <c r="F994" s="304">
        <f t="shared" ca="1" si="445"/>
        <v>0.40685682378201188</v>
      </c>
      <c r="G994" s="306">
        <f t="shared" ca="1" si="446"/>
        <v>4.4414431407328285</v>
      </c>
      <c r="H994" s="307">
        <f t="shared" ca="1" si="447"/>
        <v>-111.48250917057116</v>
      </c>
      <c r="I994" s="304">
        <f t="shared" ca="1" si="448"/>
        <v>111.57094724048392</v>
      </c>
      <c r="J994" s="306">
        <f t="shared" ca="1" si="449"/>
        <v>928.20926186620727</v>
      </c>
      <c r="K994" s="307">
        <f t="shared" ca="1" si="450"/>
        <v>-7.6692119633169904</v>
      </c>
      <c r="L994" s="304">
        <f t="shared" ca="1" si="435"/>
        <v>928.24094427381715</v>
      </c>
      <c r="M994" s="306">
        <f t="shared" ca="1" si="451"/>
        <v>-1.5309775644364905</v>
      </c>
      <c r="N994" s="304">
        <f t="shared" ca="1" si="452"/>
        <v>-87.718552971428949</v>
      </c>
      <c r="P994" s="310">
        <f t="shared" ca="1" si="453"/>
        <v>23</v>
      </c>
      <c r="Q994" s="304">
        <f t="shared" ca="1" si="454"/>
        <v>0</v>
      </c>
      <c r="R994" s="306">
        <f t="shared" ca="1" si="455"/>
        <v>0</v>
      </c>
      <c r="S994" s="307">
        <f t="shared" ca="1" si="456"/>
        <v>4.9929999999999914</v>
      </c>
      <c r="T994" s="304">
        <f t="shared" ca="1" si="436"/>
        <v>48.981329999999922</v>
      </c>
      <c r="U994" s="311">
        <f t="shared" ca="1" si="437"/>
        <v>0</v>
      </c>
      <c r="V994" s="306">
        <f t="shared" ca="1" si="438"/>
        <v>1.2259398388566762</v>
      </c>
      <c r="W994" s="304">
        <f t="shared" ca="1" si="439"/>
        <v>49.512381711800998</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-0.11412637164045591</v>
      </c>
      <c r="AH994" s="304">
        <f t="shared" ca="1" si="463"/>
        <v>-9.916350218994987</v>
      </c>
    </row>
    <row r="995" spans="1:34" x14ac:dyDescent="0.2">
      <c r="A995" s="347">
        <f t="shared" ca="1" si="441"/>
        <v>1E-4</v>
      </c>
      <c r="B995" s="304">
        <f t="shared" ca="1" si="442"/>
        <v>43.919200000000949</v>
      </c>
      <c r="D995" s="306">
        <f t="shared" ca="1" si="443"/>
        <v>-0.39475281729180639</v>
      </c>
      <c r="E995" s="307">
        <f t="shared" ca="1" si="444"/>
        <v>9.8498922397842748E-2</v>
      </c>
      <c r="F995" s="304">
        <f t="shared" ca="1" si="445"/>
        <v>0.40685602425594553</v>
      </c>
      <c r="G995" s="306">
        <f t="shared" ca="1" si="446"/>
        <v>4.4414036654510998</v>
      </c>
      <c r="H995" s="307">
        <f t="shared" ca="1" si="447"/>
        <v>-111.48249932067893</v>
      </c>
      <c r="I995" s="304">
        <f t="shared" ca="1" si="448"/>
        <v>111.57093582696463</v>
      </c>
      <c r="J995" s="306">
        <f t="shared" ca="1" si="449"/>
        <v>928.20926186620727</v>
      </c>
      <c r="K995" s="307">
        <f t="shared" ca="1" si="450"/>
        <v>-7.6803602137415528</v>
      </c>
      <c r="L995" s="304">
        <f t="shared" ca="1" si="435"/>
        <v>928.24103644862748</v>
      </c>
      <c r="M995" s="306">
        <f t="shared" ca="1" si="451"/>
        <v>-1.5309779144549249</v>
      </c>
      <c r="N995" s="304">
        <f t="shared" ca="1" si="452"/>
        <v>-87.718573026007988</v>
      </c>
      <c r="P995" s="310">
        <f t="shared" ca="1" si="453"/>
        <v>23</v>
      </c>
      <c r="Q995" s="304">
        <f t="shared" ca="1" si="454"/>
        <v>0</v>
      </c>
      <c r="R995" s="306">
        <f t="shared" ca="1" si="455"/>
        <v>0</v>
      </c>
      <c r="S995" s="307">
        <f t="shared" ca="1" si="456"/>
        <v>4.9929999999999914</v>
      </c>
      <c r="T995" s="304">
        <f t="shared" ca="1" si="436"/>
        <v>48.981329999999922</v>
      </c>
      <c r="U995" s="311">
        <f t="shared" ca="1" si="437"/>
        <v>0</v>
      </c>
      <c r="V995" s="306">
        <f t="shared" ca="1" si="438"/>
        <v>1.2259412055660726</v>
      </c>
      <c r="W995" s="304">
        <f t="shared" ca="1" si="439"/>
        <v>49.512426779406283</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-0.11413526125853046</v>
      </c>
      <c r="AH995" s="304">
        <f t="shared" ca="1" si="463"/>
        <v>-9.9163592453036422</v>
      </c>
    </row>
    <row r="996" spans="1:34" x14ac:dyDescent="0.2">
      <c r="A996" s="347">
        <f t="shared" ca="1" si="441"/>
        <v>1E-4</v>
      </c>
      <c r="B996" s="304">
        <f t="shared" ca="1" si="442"/>
        <v>43.919300000000952</v>
      </c>
      <c r="D996" s="306">
        <f t="shared" ca="1" si="443"/>
        <v>-0.39474970844680357</v>
      </c>
      <c r="E996" s="307">
        <f t="shared" ca="1" si="444"/>
        <v>9.8508079571107743E-2</v>
      </c>
      <c r="F996" s="304">
        <f t="shared" ca="1" si="445"/>
        <v>0.40685522493833615</v>
      </c>
      <c r="G996" s="306">
        <f t="shared" ca="1" si="446"/>
        <v>4.4413641904802548</v>
      </c>
      <c r="H996" s="307">
        <f t="shared" ca="1" si="447"/>
        <v>-111.48248946987097</v>
      </c>
      <c r="I996" s="304">
        <f t="shared" ca="1" si="448"/>
        <v>111.57092441255639</v>
      </c>
      <c r="J996" s="306">
        <f t="shared" ca="1" si="449"/>
        <v>928.20926186620727</v>
      </c>
      <c r="K996" s="307">
        <f t="shared" ca="1" si="450"/>
        <v>-7.6915084631810799</v>
      </c>
      <c r="L996" s="304">
        <f t="shared" ca="1" si="435"/>
        <v>928.24112875731191</v>
      </c>
      <c r="M996" s="306">
        <f t="shared" ca="1" si="451"/>
        <v>-1.53097826447032</v>
      </c>
      <c r="N996" s="304">
        <f t="shared" ca="1" si="452"/>
        <v>-87.718593080412887</v>
      </c>
      <c r="P996" s="310">
        <f t="shared" ca="1" si="453"/>
        <v>23</v>
      </c>
      <c r="Q996" s="304">
        <f t="shared" ca="1" si="454"/>
        <v>0</v>
      </c>
      <c r="R996" s="306">
        <f t="shared" ca="1" si="455"/>
        <v>0</v>
      </c>
      <c r="S996" s="307">
        <f t="shared" ca="1" si="456"/>
        <v>4.9929999999999914</v>
      </c>
      <c r="T996" s="304">
        <f t="shared" ca="1" si="436"/>
        <v>48.981329999999922</v>
      </c>
      <c r="U996" s="311">
        <f t="shared" ca="1" si="437"/>
        <v>0</v>
      </c>
      <c r="V996" s="306">
        <f t="shared" ca="1" si="438"/>
        <v>1.225942572276872</v>
      </c>
      <c r="W996" s="304">
        <f t="shared" ca="1" si="439"/>
        <v>49.512471846257704</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-0.11414415072801454</v>
      </c>
      <c r="AH996" s="304">
        <f t="shared" ca="1" si="463"/>
        <v>-9.9163682714613195</v>
      </c>
    </row>
    <row r="997" spans="1:34" x14ac:dyDescent="0.2">
      <c r="A997" s="347">
        <f t="shared" ca="1" si="441"/>
        <v>1E-4</v>
      </c>
      <c r="B997" s="304">
        <f t="shared" ca="1" si="442"/>
        <v>43.919400000000955</v>
      </c>
      <c r="D997" s="306">
        <f t="shared" ca="1" si="443"/>
        <v>-0.39474659961954395</v>
      </c>
      <c r="E997" s="307">
        <f t="shared" ca="1" si="444"/>
        <v>9.8517236591346702E-2</v>
      </c>
      <c r="F997" s="304">
        <f t="shared" ca="1" si="445"/>
        <v>0.4068544258291753</v>
      </c>
      <c r="G997" s="306">
        <f t="shared" ca="1" si="446"/>
        <v>4.4413247158202926</v>
      </c>
      <c r="H997" s="307">
        <f t="shared" ca="1" si="447"/>
        <v>-111.48247961814731</v>
      </c>
      <c r="I997" s="304">
        <f t="shared" ca="1" si="448"/>
        <v>111.57091299725921</v>
      </c>
      <c r="J997" s="306">
        <f t="shared" ca="1" si="449"/>
        <v>928.20926186620727</v>
      </c>
      <c r="K997" s="307">
        <f t="shared" ca="1" si="450"/>
        <v>-7.7026567116354805</v>
      </c>
      <c r="L997" s="304">
        <f t="shared" ca="1" si="435"/>
        <v>928.24122119987032</v>
      </c>
      <c r="M997" s="306">
        <f t="shared" ca="1" si="451"/>
        <v>-1.5309786144826758</v>
      </c>
      <c r="N997" s="304">
        <f t="shared" ca="1" si="452"/>
        <v>-87.718613134643661</v>
      </c>
      <c r="P997" s="310">
        <f t="shared" ca="1" si="453"/>
        <v>23</v>
      </c>
      <c r="Q997" s="304">
        <f t="shared" ca="1" si="454"/>
        <v>0</v>
      </c>
      <c r="R997" s="306">
        <f t="shared" ca="1" si="455"/>
        <v>0</v>
      </c>
      <c r="S997" s="307">
        <f t="shared" ca="1" si="456"/>
        <v>4.9929999999999914</v>
      </c>
      <c r="T997" s="304">
        <f t="shared" ca="1" si="436"/>
        <v>48.981329999999922</v>
      </c>
      <c r="U997" s="311">
        <f t="shared" ca="1" si="437"/>
        <v>0</v>
      </c>
      <c r="V997" s="306">
        <f t="shared" ca="1" si="438"/>
        <v>1.2259439389890752</v>
      </c>
      <c r="W997" s="304">
        <f t="shared" ca="1" si="439"/>
        <v>49.512516912355274</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-0.11415304004890281</v>
      </c>
      <c r="AH997" s="304">
        <f t="shared" ca="1" si="463"/>
        <v>-9.9163772974680136</v>
      </c>
    </row>
    <row r="998" spans="1:34" x14ac:dyDescent="0.2">
      <c r="A998" s="347">
        <f t="shared" ca="1" si="441"/>
        <v>1E-4</v>
      </c>
      <c r="B998" s="304">
        <f t="shared" ca="1" si="442"/>
        <v>43.919500000000959</v>
      </c>
      <c r="D998" s="306">
        <f t="shared" ca="1" si="443"/>
        <v>-0.39474349081002769</v>
      </c>
      <c r="E998" s="307">
        <f t="shared" ca="1" si="444"/>
        <v>9.8526393458559625E-2</v>
      </c>
      <c r="F998" s="304">
        <f t="shared" ca="1" si="445"/>
        <v>0.40685362692845362</v>
      </c>
      <c r="G998" s="306">
        <f t="shared" ca="1" si="446"/>
        <v>4.4412852414712116</v>
      </c>
      <c r="H998" s="307">
        <f t="shared" ca="1" si="447"/>
        <v>-111.48246976550796</v>
      </c>
      <c r="I998" s="304">
        <f t="shared" ca="1" si="448"/>
        <v>111.57090158107313</v>
      </c>
      <c r="J998" s="306">
        <f t="shared" ca="1" si="449"/>
        <v>928.20926186620727</v>
      </c>
      <c r="K998" s="307">
        <f t="shared" ca="1" si="450"/>
        <v>-7.7138049591046629</v>
      </c>
      <c r="L998" s="304">
        <f t="shared" ca="1" si="435"/>
        <v>928.2413137763026</v>
      </c>
      <c r="M998" s="306">
        <f t="shared" ca="1" si="451"/>
        <v>-1.5309789644919922</v>
      </c>
      <c r="N998" s="304">
        <f t="shared" ca="1" si="452"/>
        <v>-87.718633188700281</v>
      </c>
      <c r="P998" s="310">
        <f t="shared" ca="1" si="453"/>
        <v>23</v>
      </c>
      <c r="Q998" s="304">
        <f t="shared" ca="1" si="454"/>
        <v>0</v>
      </c>
      <c r="R998" s="306">
        <f t="shared" ca="1" si="455"/>
        <v>0</v>
      </c>
      <c r="S998" s="307">
        <f t="shared" ca="1" si="456"/>
        <v>4.9929999999999914</v>
      </c>
      <c r="T998" s="304">
        <f t="shared" ca="1" si="436"/>
        <v>48.981329999999922</v>
      </c>
      <c r="U998" s="311">
        <f t="shared" ca="1" si="437"/>
        <v>0</v>
      </c>
      <c r="V998" s="306">
        <f t="shared" ca="1" si="438"/>
        <v>1.2259453057026812</v>
      </c>
      <c r="W998" s="304">
        <f t="shared" ca="1" si="439"/>
        <v>49.512561977699015</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-0.11416192922119706</v>
      </c>
      <c r="AH998" s="304">
        <f t="shared" ca="1" si="463"/>
        <v>-9.9163863233237244</v>
      </c>
    </row>
    <row r="999" spans="1:34" x14ac:dyDescent="0.2">
      <c r="A999" s="347">
        <f t="shared" ca="1" si="441"/>
        <v>1E-4</v>
      </c>
      <c r="B999" s="304">
        <f t="shared" ca="1" si="442"/>
        <v>43.919600000000962</v>
      </c>
      <c r="D999" s="306">
        <f t="shared" ca="1" si="443"/>
        <v>-0.3947403820182554</v>
      </c>
      <c r="E999" s="307">
        <f t="shared" ca="1" si="444"/>
        <v>9.8535550172757169E-2</v>
      </c>
      <c r="F999" s="304">
        <f t="shared" ca="1" si="445"/>
        <v>0.4068528282361647</v>
      </c>
      <c r="G999" s="306">
        <f t="shared" ca="1" si="446"/>
        <v>4.4412457674330099</v>
      </c>
      <c r="H999" s="307">
        <f t="shared" ca="1" si="447"/>
        <v>-111.48245991195294</v>
      </c>
      <c r="I999" s="304">
        <f t="shared" ca="1" si="448"/>
        <v>111.57089016399814</v>
      </c>
      <c r="J999" s="306">
        <f t="shared" ca="1" si="449"/>
        <v>928.20926186620727</v>
      </c>
      <c r="K999" s="307">
        <f t="shared" ca="1" si="450"/>
        <v>-7.7249532055885357</v>
      </c>
      <c r="L999" s="304">
        <f t="shared" ca="1" si="435"/>
        <v>928.24140648660887</v>
      </c>
      <c r="M999" s="306">
        <f t="shared" ca="1" si="451"/>
        <v>-1.5309793144982695</v>
      </c>
      <c r="N999" s="304">
        <f t="shared" ca="1" si="452"/>
        <v>-87.718653242582775</v>
      </c>
      <c r="P999" s="310">
        <f t="shared" ca="1" si="453"/>
        <v>23</v>
      </c>
      <c r="Q999" s="304">
        <f t="shared" ca="1" si="454"/>
        <v>0</v>
      </c>
      <c r="R999" s="306">
        <f t="shared" ca="1" si="455"/>
        <v>0</v>
      </c>
      <c r="S999" s="307">
        <f t="shared" ca="1" si="456"/>
        <v>4.9929999999999914</v>
      </c>
      <c r="T999" s="304">
        <f t="shared" ca="1" si="436"/>
        <v>48.981329999999922</v>
      </c>
      <c r="U999" s="311">
        <f t="shared" ca="1" si="437"/>
        <v>0</v>
      </c>
      <c r="V999" s="306">
        <f t="shared" ca="1" si="438"/>
        <v>1.2259466724176913</v>
      </c>
      <c r="W999" s="304">
        <f t="shared" ca="1" si="439"/>
        <v>49.512607042288934</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-0.11417081824490083</v>
      </c>
      <c r="AH999" s="304">
        <f t="shared" ca="1" si="463"/>
        <v>-9.9163953490284591</v>
      </c>
    </row>
    <row r="1000" spans="1:34" x14ac:dyDescent="0.2">
      <c r="A1000" s="347">
        <f t="shared" ca="1" si="441"/>
        <v>1E-4</v>
      </c>
      <c r="B1000" s="304">
        <f t="shared" ca="1" si="442"/>
        <v>43.919700000000965</v>
      </c>
      <c r="D1000" s="306">
        <f t="shared" ca="1" si="443"/>
        <v>-0.39473727324422508</v>
      </c>
      <c r="E1000" s="307">
        <f t="shared" ca="1" si="444"/>
        <v>9.8544706733934007E-2</v>
      </c>
      <c r="F1000" s="304">
        <f t="shared" ca="1" si="445"/>
        <v>0.4068520297522959</v>
      </c>
      <c r="G1000" s="306">
        <f t="shared" ca="1" si="446"/>
        <v>4.4412062937056858</v>
      </c>
      <c r="H1000" s="307">
        <f t="shared" ca="1" si="447"/>
        <v>-111.48245005748227</v>
      </c>
      <c r="I1000" s="304">
        <f t="shared" ca="1" si="448"/>
        <v>111.57087874603425</v>
      </c>
      <c r="J1000" s="306">
        <f t="shared" ca="1" si="449"/>
        <v>928.20926186620727</v>
      </c>
      <c r="K1000" s="307">
        <f t="shared" ca="1" si="450"/>
        <v>-7.7361014510870074</v>
      </c>
      <c r="L1000" s="304">
        <f t="shared" ca="1" si="435"/>
        <v>928.24149933078877</v>
      </c>
      <c r="M1000" s="306">
        <f t="shared" ca="1" si="451"/>
        <v>-1.5309796645015077</v>
      </c>
      <c r="N1000" s="304">
        <f t="shared" ca="1" si="452"/>
        <v>-87.718673296291129</v>
      </c>
      <c r="P1000" s="310">
        <f t="shared" ca="1" si="453"/>
        <v>23</v>
      </c>
      <c r="Q1000" s="304">
        <f t="shared" ca="1" si="454"/>
        <v>0</v>
      </c>
      <c r="R1000" s="306">
        <f t="shared" ca="1" si="455"/>
        <v>0</v>
      </c>
      <c r="S1000" s="307">
        <f t="shared" ca="1" si="456"/>
        <v>4.9929999999999914</v>
      </c>
      <c r="T1000" s="304">
        <f t="shared" ca="1" si="436"/>
        <v>48.981329999999922</v>
      </c>
      <c r="U1000" s="311">
        <f t="shared" ca="1" si="437"/>
        <v>0</v>
      </c>
      <c r="V1000" s="306">
        <f t="shared" ca="1" si="438"/>
        <v>1.2259480391341042</v>
      </c>
      <c r="W1000" s="304">
        <f t="shared" ca="1" si="439"/>
        <v>49.512652106125003</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-0.11417970712001768</v>
      </c>
      <c r="AH1000" s="304">
        <f t="shared" ca="1" si="463"/>
        <v>-9.9164043745822195</v>
      </c>
    </row>
    <row r="1001" spans="1:34" x14ac:dyDescent="0.2">
      <c r="A1001" s="347">
        <f t="shared" ca="1" si="441"/>
        <v>1E-4</v>
      </c>
      <c r="B1001" s="304">
        <f t="shared" ca="1" si="442"/>
        <v>43.919800000000969</v>
      </c>
      <c r="D1001" s="306">
        <f t="shared" ca="1" si="443"/>
        <v>-0.39473416448793669</v>
      </c>
      <c r="E1001" s="307">
        <f t="shared" ca="1" si="444"/>
        <v>9.855386314208836E-2</v>
      </c>
      <c r="F1001" s="304">
        <f t="shared" ca="1" si="445"/>
        <v>0.40685123147683716</v>
      </c>
      <c r="G1001" s="306">
        <f t="shared" ca="1" si="446"/>
        <v>4.4411668202892374</v>
      </c>
      <c r="H1001" s="307">
        <f t="shared" ca="1" si="447"/>
        <v>-111.48244020209596</v>
      </c>
      <c r="I1001" s="304">
        <f t="shared" ca="1" si="448"/>
        <v>111.57086732718152</v>
      </c>
      <c r="J1001" s="306">
        <f t="shared" ca="1" si="449"/>
        <v>928.20926186620727</v>
      </c>
      <c r="K1001" s="307">
        <f t="shared" ca="1" si="450"/>
        <v>-7.7472496955999866</v>
      </c>
      <c r="L1001" s="304">
        <f t="shared" ca="1" si="435"/>
        <v>928.24159230884243</v>
      </c>
      <c r="M1001" s="306">
        <f t="shared" ca="1" si="451"/>
        <v>-1.5309800145017065</v>
      </c>
      <c r="N1001" s="304">
        <f t="shared" ca="1" si="452"/>
        <v>-87.718693349825358</v>
      </c>
      <c r="P1001" s="310">
        <f t="shared" ca="1" si="453"/>
        <v>23</v>
      </c>
      <c r="Q1001" s="304">
        <f t="shared" ca="1" si="454"/>
        <v>0</v>
      </c>
      <c r="R1001" s="306">
        <f t="shared" ca="1" si="455"/>
        <v>0</v>
      </c>
      <c r="S1001" s="307">
        <f t="shared" ca="1" si="456"/>
        <v>4.9929999999999914</v>
      </c>
      <c r="T1001" s="304">
        <f t="shared" ca="1" si="436"/>
        <v>48.981329999999922</v>
      </c>
      <c r="U1001" s="311">
        <f t="shared" ca="1" si="437"/>
        <v>0</v>
      </c>
      <c r="V1001" s="306">
        <f t="shared" ca="1" si="438"/>
        <v>1.2259494058519209</v>
      </c>
      <c r="W1001" s="304">
        <f t="shared" ca="1" si="439"/>
        <v>49.512697169207321</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-0.11418859584654051</v>
      </c>
      <c r="AH1001" s="304">
        <f t="shared" ca="1" si="463"/>
        <v>-9.9164133999849966</v>
      </c>
    </row>
    <row r="1002" spans="1:34" x14ac:dyDescent="0.2">
      <c r="A1002" s="347">
        <f t="shared" ca="1" si="441"/>
        <v>1E-4</v>
      </c>
      <c r="B1002" s="304">
        <f t="shared" ca="1" si="442"/>
        <v>43.919900000000972</v>
      </c>
      <c r="D1002" s="306">
        <f t="shared" ca="1" si="443"/>
        <v>-0.39473105574939354</v>
      </c>
      <c r="E1002" s="307">
        <f t="shared" ca="1" si="444"/>
        <v>9.8563019397237994E-2</v>
      </c>
      <c r="F1002" s="304">
        <f t="shared" ca="1" si="445"/>
        <v>0.40685043340978649</v>
      </c>
      <c r="G1002" s="306">
        <f t="shared" ca="1" si="446"/>
        <v>4.4411273471836621</v>
      </c>
      <c r="H1002" s="307">
        <f t="shared" ca="1" si="447"/>
        <v>-111.48243034579401</v>
      </c>
      <c r="I1002" s="304">
        <f t="shared" ca="1" si="448"/>
        <v>111.57085590743991</v>
      </c>
      <c r="J1002" s="306">
        <f t="shared" ca="1" si="449"/>
        <v>928.20926186620727</v>
      </c>
      <c r="K1002" s="307">
        <f t="shared" ca="1" si="450"/>
        <v>-7.7583979391273807</v>
      </c>
      <c r="L1002" s="304">
        <f t="shared" ca="1" si="435"/>
        <v>928.24168542076961</v>
      </c>
      <c r="M1002" s="306">
        <f t="shared" ca="1" si="451"/>
        <v>-1.5309803644988662</v>
      </c>
      <c r="N1002" s="304">
        <f t="shared" ca="1" si="452"/>
        <v>-87.718713403185447</v>
      </c>
      <c r="P1002" s="310">
        <f t="shared" ca="1" si="453"/>
        <v>23</v>
      </c>
      <c r="Q1002" s="304">
        <f t="shared" ca="1" si="454"/>
        <v>0</v>
      </c>
      <c r="R1002" s="306">
        <f t="shared" ca="1" si="455"/>
        <v>0</v>
      </c>
      <c r="S1002" s="307">
        <f t="shared" ca="1" si="456"/>
        <v>4.9929999999999914</v>
      </c>
      <c r="T1002" s="304">
        <f t="shared" ca="1" si="436"/>
        <v>48.981329999999922</v>
      </c>
      <c r="U1002" s="311">
        <f t="shared" ca="1" si="437"/>
        <v>0</v>
      </c>
      <c r="V1002" s="306">
        <f t="shared" ca="1" si="438"/>
        <v>1.2259507725711409</v>
      </c>
      <c r="W1002" s="304">
        <f t="shared" ca="1" si="439"/>
        <v>49.512742231535825</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-0.11419748442448885</v>
      </c>
      <c r="AH1002" s="304">
        <f t="shared" ca="1" si="463"/>
        <v>-9.9164224252368136</v>
      </c>
    </row>
    <row r="1003" spans="1:34" x14ac:dyDescent="0.2">
      <c r="A1003" s="347">
        <f t="shared" ca="1" si="441"/>
        <v>1E-4</v>
      </c>
      <c r="B1003" s="304">
        <f t="shared" ca="1" si="442"/>
        <v>43.920000000000975</v>
      </c>
      <c r="D1003" s="306">
        <f t="shared" ca="1" si="443"/>
        <v>-0.39472794702859315</v>
      </c>
      <c r="E1003" s="307">
        <f t="shared" ca="1" si="444"/>
        <v>9.8572175499370474E-2</v>
      </c>
      <c r="F1003" s="304">
        <f t="shared" ca="1" si="445"/>
        <v>0.40684963555112907</v>
      </c>
      <c r="G1003" s="306">
        <f t="shared" ca="1" si="446"/>
        <v>4.441087874388959</v>
      </c>
      <c r="H1003" s="307">
        <f t="shared" ca="1" si="447"/>
        <v>-111.48242048857647</v>
      </c>
      <c r="I1003" s="304">
        <f t="shared" ca="1" si="448"/>
        <v>111.57084448680945</v>
      </c>
      <c r="J1003" s="306">
        <f t="shared" ca="1" si="449"/>
        <v>928.20926186620727</v>
      </c>
      <c r="K1003" s="307">
        <f t="shared" ca="1" si="450"/>
        <v>-7.7695461816690994</v>
      </c>
      <c r="L1003" s="304">
        <f t="shared" ca="1" si="435"/>
        <v>928.24177866657044</v>
      </c>
      <c r="M1003" s="306">
        <f t="shared" ca="1" si="451"/>
        <v>-1.5309807144929868</v>
      </c>
      <c r="N1003" s="304">
        <f t="shared" ca="1" si="452"/>
        <v>-87.71873345637141</v>
      </c>
      <c r="P1003" s="310">
        <f t="shared" ca="1" si="453"/>
        <v>23</v>
      </c>
      <c r="Q1003" s="304">
        <f t="shared" ca="1" si="454"/>
        <v>0</v>
      </c>
      <c r="R1003" s="306">
        <f t="shared" ca="1" si="455"/>
        <v>0</v>
      </c>
      <c r="S1003" s="307">
        <f t="shared" ca="1" si="456"/>
        <v>4.9929999999999914</v>
      </c>
      <c r="T1003" s="304">
        <f t="shared" ca="1" si="436"/>
        <v>48.981329999999922</v>
      </c>
      <c r="U1003" s="311">
        <f t="shared" ca="1" si="437"/>
        <v>0</v>
      </c>
      <c r="V1003" s="306">
        <f ca="1">Rho_moyen*(20000-Alt_rampe-pos_z)/(20000+Alt_rampe+pos_z)</f>
        <v>1.2259521392917645</v>
      </c>
      <c r="W1003" s="304">
        <f t="shared" ca="1" si="439"/>
        <v>49.512787293110549</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-0.11420637285385027</v>
      </c>
      <c r="AH1003" s="304">
        <f t="shared" ca="1" si="463"/>
        <v>-9.9164314503376545</v>
      </c>
    </row>
    <row r="1004" spans="1:34" x14ac:dyDescent="0.2">
      <c r="A1004" s="348">
        <f t="shared" ca="1" si="441"/>
        <v>1E-4</v>
      </c>
      <c r="B1004" s="305">
        <f t="shared" ca="1" si="442"/>
        <v>43.920100000000978</v>
      </c>
      <c r="D1004" s="308">
        <f t="shared" ca="1" si="443"/>
        <v>-0.39472483832553612</v>
      </c>
      <c r="E1004" s="309">
        <f t="shared" ca="1" si="444"/>
        <v>9.8581331448496456E-2</v>
      </c>
      <c r="F1004" s="305">
        <f t="shared" ca="1" si="445"/>
        <v>0.40684883790085835</v>
      </c>
      <c r="G1004" s="308">
        <f t="shared" ca="1" si="446"/>
        <v>4.4410484019051264</v>
      </c>
      <c r="H1004" s="309">
        <f t="shared" ca="1" si="447"/>
        <v>-111.48241063044333</v>
      </c>
      <c r="I1004" s="305">
        <f t="shared" ca="1" si="448"/>
        <v>111.57083306529017</v>
      </c>
      <c r="J1004" s="308">
        <f t="shared" ca="1" si="449"/>
        <v>928.20926186620727</v>
      </c>
      <c r="K1004" s="309">
        <f t="shared" ca="1" si="450"/>
        <v>-7.7806944232250501</v>
      </c>
      <c r="L1004" s="305">
        <f t="shared" ca="1" si="435"/>
        <v>928.24187204624468</v>
      </c>
      <c r="M1004" s="308">
        <f t="shared" ca="1" si="451"/>
        <v>-1.5309810644840682</v>
      </c>
      <c r="N1004" s="305">
        <f t="shared" ca="1" si="452"/>
        <v>-87.718753509383248</v>
      </c>
      <c r="P1004" s="312">
        <f t="shared" ca="1" si="453"/>
        <v>23</v>
      </c>
      <c r="Q1004" s="305">
        <f t="shared" ca="1" si="454"/>
        <v>0</v>
      </c>
      <c r="R1004" s="308">
        <f t="shared" ca="1" si="455"/>
        <v>0</v>
      </c>
      <c r="S1004" s="309">
        <f t="shared" ca="1" si="456"/>
        <v>4.9929999999999914</v>
      </c>
      <c r="T1004" s="305">
        <f t="shared" ca="1" si="436"/>
        <v>48.981329999999922</v>
      </c>
      <c r="U1004" s="313">
        <f t="shared" ca="1" si="437"/>
        <v>0</v>
      </c>
      <c r="V1004" s="308">
        <f t="shared" ca="1" si="438"/>
        <v>1.2259535060137914</v>
      </c>
      <c r="W1004" s="305">
        <f ca="1">1/2*Rho*Sref*Cx*vit_xz^2</f>
        <v>49.512832353931515</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-0.11421526113463365</v>
      </c>
      <c r="AH1004" s="305">
        <f t="shared" ca="1" si="463"/>
        <v>-9.9164404752875299</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632" t="s">
        <v>281</v>
      </c>
      <c r="D2" s="632"/>
      <c r="M2" s="75"/>
    </row>
    <row r="3" spans="1:13" ht="12.75" customHeight="1" x14ac:dyDescent="0.2">
      <c r="A3" s="56"/>
      <c r="B3" s="2"/>
      <c r="C3" s="632"/>
      <c r="D3" s="632"/>
      <c r="M3" s="75"/>
    </row>
    <row r="4" spans="1:13" x14ac:dyDescent="0.2">
      <c r="A4" s="56"/>
      <c r="B4" s="2"/>
      <c r="C4" s="636" t="str">
        <f>IF(Lang="Français","Abaques de performance",IF(Lang="English","Performance charts",""))</f>
        <v>Abaques de performance</v>
      </c>
      <c r="D4" s="636"/>
      <c r="M4" s="75"/>
    </row>
    <row r="5" spans="1:13" x14ac:dyDescent="0.2">
      <c r="A5" s="56"/>
      <c r="B5" s="2"/>
      <c r="C5" s="636" t="str">
        <f>IF(Lang="Français","Calcul analytique simple",IF(Lang="English","Analytical computation",""))</f>
        <v>Calcul analytique simple</v>
      </c>
      <c r="D5" s="636"/>
      <c r="M5" s="75"/>
    </row>
    <row r="6" spans="1:13" x14ac:dyDescent="0.2">
      <c r="A6" s="56"/>
      <c r="B6" s="87"/>
      <c r="C6" s="1"/>
      <c r="D6" s="1"/>
      <c r="M6" s="75"/>
    </row>
    <row r="7" spans="1:13" x14ac:dyDescent="0.2">
      <c r="A7" s="59"/>
      <c r="B7" s="6"/>
      <c r="C7" s="612" t="str">
        <f>IF(Lang="Français","Fusée",IF(Lang="English","Rocket",""))</f>
        <v>Fusée</v>
      </c>
      <c r="D7" s="612"/>
      <c r="M7" s="75"/>
    </row>
    <row r="8" spans="1:13" ht="15.75" x14ac:dyDescent="0.25">
      <c r="A8" s="59"/>
      <c r="B8" s="140" t="str">
        <f>IF(Lang="Français","Nom",IF(Lang="English","Name",""))</f>
        <v>Nom</v>
      </c>
      <c r="C8" s="633" t="str">
        <f>Nom</f>
        <v>SP02</v>
      </c>
      <c r="D8" s="633"/>
      <c r="M8" s="75"/>
    </row>
    <row r="9" spans="1:13" ht="15.75" x14ac:dyDescent="0.25">
      <c r="A9" s="59"/>
      <c r="B9" s="140" t="s">
        <v>4</v>
      </c>
      <c r="C9" s="633" t="str">
        <f>Club</f>
        <v>L'AéroIPSA</v>
      </c>
      <c r="D9" s="633"/>
      <c r="M9" s="75"/>
    </row>
    <row r="10" spans="1:13" ht="15.75" x14ac:dyDescent="0.25">
      <c r="A10" s="59"/>
      <c r="B10" s="140" t="s">
        <v>562</v>
      </c>
      <c r="C10" s="662" t="str">
        <f>Matricule</f>
        <v>FX0</v>
      </c>
      <c r="D10" s="663"/>
      <c r="M10" s="75"/>
    </row>
    <row r="11" spans="1:13" x14ac:dyDescent="0.2">
      <c r="A11" s="59"/>
      <c r="B11" s="140" t="str">
        <f>IF(Lang="Français","Masse sans propu",IF(Lang="English","Mass without M",""))</f>
        <v>Masse sans propu</v>
      </c>
      <c r="C11" s="664">
        <f>MasseSans</f>
        <v>4.3410000000000002</v>
      </c>
      <c r="D11" s="664"/>
      <c r="M11" s="75"/>
    </row>
    <row r="12" spans="1:13" x14ac:dyDescent="0.2">
      <c r="A12" s="59"/>
      <c r="B12" s="140" t="str">
        <f>IF(Lang="Français","Masse totale",IF(Lang="English","Total mass",""))</f>
        <v>Masse totale</v>
      </c>
      <c r="C12" s="667" t="str">
        <f ca="1">MassePlein &amp; " kg ±" &amp; MasseSans &amp; " kg"</f>
        <v>6,026 kg ±4,341 kg</v>
      </c>
      <c r="D12" s="667"/>
      <c r="M12" s="75"/>
    </row>
    <row r="13" spans="1:13" x14ac:dyDescent="0.2">
      <c r="A13" s="59"/>
      <c r="B13" s="227" t="str">
        <f>IF(Lang="Français","Propulseur",IF(Lang="English","Motor",""))</f>
        <v>Propulseur</v>
      </c>
      <c r="C13" s="610" t="str">
        <f>Propu</f>
        <v>Barasinga (Pro54-5G C)</v>
      </c>
      <c r="D13" s="611"/>
      <c r="M13" s="75"/>
    </row>
    <row r="14" spans="1:13" x14ac:dyDescent="0.2">
      <c r="A14" s="59"/>
      <c r="B14" s="1"/>
      <c r="C14" s="1"/>
      <c r="D14" s="1"/>
      <c r="M14" s="75"/>
    </row>
    <row r="15" spans="1:13" x14ac:dyDescent="0.2">
      <c r="A15" s="74"/>
      <c r="C15" s="612" t="str">
        <f>IF(Lang="Français","Traînée Aérdynamique",IF(Lang="English","Drag",""))</f>
        <v>Traînée Aérdynamique</v>
      </c>
      <c r="D15" s="612"/>
      <c r="M15" s="75"/>
    </row>
    <row r="16" spans="1:13" x14ac:dyDescent="0.2">
      <c r="A16" s="74"/>
      <c r="B16" s="139" t="str">
        <f>IF(Lang="Français","Diamètre Ø",IF(Lang="English","Diameter Ø",""))</f>
        <v>Diamètre Ø</v>
      </c>
      <c r="C16" s="665">
        <f>D_ref</f>
        <v>104</v>
      </c>
      <c r="D16" s="665"/>
      <c r="M16" s="75"/>
    </row>
    <row r="17" spans="1:13" x14ac:dyDescent="0.2">
      <c r="A17" s="74"/>
      <c r="B17" s="140" t="s">
        <v>5</v>
      </c>
      <c r="C17" s="666">
        <f>Cx</f>
        <v>0.6</v>
      </c>
      <c r="D17" s="666"/>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54</v>
      </c>
      <c r="C43" s="403">
        <f t="shared" ref="C43:C69" ca="1" si="1">1/2*Rho_moyen*PI()*D_var^2/4*Cx/10^6</f>
        <v>8.4165623384160752E-4</v>
      </c>
      <c r="D43" s="400">
        <f ca="1">MpropuPlein+0*MasseSans</f>
        <v>1.6850000000000001</v>
      </c>
      <c r="E43" s="400">
        <f t="shared" ref="E43:E69" ca="1" si="2">m_var - 0.5*m_poudre</f>
        <v>1.1685000000000001</v>
      </c>
      <c r="F43" s="400">
        <f t="shared" ref="F43:F69" ca="1" si="3">m_var - m_poudre</f>
        <v>0.65200000000000014</v>
      </c>
      <c r="G43" s="407">
        <f t="shared" ref="G43:G69" ca="1" si="4">MAX(0, (I_total/Temps_fin_propu)/m_prop-g)</f>
        <v>480.87217115245477</v>
      </c>
      <c r="H43" s="406">
        <f t="shared" ref="H43:H69" ca="1" si="5">Q_var/m_prop</f>
        <v>7.2028774825982661E-4</v>
      </c>
      <c r="I43" s="403">
        <f t="shared" ref="I43:I69" ca="1" si="6">Q_var/m_bal</f>
        <v>1.290883794235594E-3</v>
      </c>
      <c r="J43" s="403">
        <f t="shared" ref="J43:J69" ca="1" si="7">1/(2*b_prop)*LN(  ((EXP(2*SQRT(a_prop*b_prop)*Temps_fin_propu)+1)^2)  /  (((1+1)^2)*EXP(2*SQRT(a_prop*b_prop)*Temps_fin_propu)))</f>
        <v>1991.1236899685493</v>
      </c>
      <c r="K43" s="410">
        <f t="shared" ref="K43:K69" ca="1" si="8">SQRT(a_prop/b_prop)  *  (EXP(2*SQRT(a_prop*b_prop)*Temps_fin_propu)-1)/(EXP(2*SQRT(a_prop*b_prop)*Temps_fin_propu)+1)</f>
        <v>793.5341125462329</v>
      </c>
      <c r="L43" s="413">
        <f t="shared" ref="L43:L69" ca="1" si="9">alt_prop + 1/(2*b_bal) * LN(1+b_bal/g*V_prop^2)</f>
        <v>3706.6765556662222</v>
      </c>
      <c r="M43" s="416">
        <f t="shared" ref="M43:M69" ca="1" si="10">Temps_fin_propu + ATAN(SQRT(b_bal/g)*V_prop)/SQRT(b_bal*g)</f>
        <v>16.576277929342474</v>
      </c>
    </row>
    <row r="44" spans="1:13" x14ac:dyDescent="0.2">
      <c r="B44" s="426">
        <f t="shared" ca="1" si="0"/>
        <v>54</v>
      </c>
      <c r="C44" s="404">
        <f t="shared" ca="1" si="1"/>
        <v>8.4165623384160752E-4</v>
      </c>
      <c r="D44" s="401">
        <f ca="1">MpropuPlein+0.25*MasseSans</f>
        <v>2.7702499999999999</v>
      </c>
      <c r="E44" s="401">
        <f t="shared" ca="1" si="2"/>
        <v>2.2537500000000001</v>
      </c>
      <c r="F44" s="401">
        <f t="shared" ca="1" si="3"/>
        <v>1.73725</v>
      </c>
      <c r="G44" s="408">
        <f t="shared" ca="1" si="4"/>
        <v>244.59360154925943</v>
      </c>
      <c r="H44" s="404">
        <f t="shared" ca="1" si="5"/>
        <v>3.7344702555368054E-4</v>
      </c>
      <c r="I44" s="404">
        <f t="shared" ca="1" si="6"/>
        <v>4.8447617432241042E-4</v>
      </c>
      <c r="J44" s="404">
        <f t="shared" ca="1" si="7"/>
        <v>1338.8053671896666</v>
      </c>
      <c r="K44" s="411">
        <f t="shared" ca="1" si="8"/>
        <v>643.4297643109295</v>
      </c>
      <c r="L44" s="414">
        <f t="shared" ca="1" si="9"/>
        <v>4502.5650133826985</v>
      </c>
      <c r="M44" s="417">
        <f t="shared" ca="1" si="10"/>
        <v>23.217881929199294</v>
      </c>
    </row>
    <row r="45" spans="1:13" x14ac:dyDescent="0.2">
      <c r="B45" s="426">
        <f t="shared" ca="1" si="0"/>
        <v>54</v>
      </c>
      <c r="C45" s="404">
        <f t="shared" ca="1" si="1"/>
        <v>8.4165623384160752E-4</v>
      </c>
      <c r="D45" s="401">
        <f ca="1">MpropuPlein+0.5*MasseSans</f>
        <v>3.8555000000000001</v>
      </c>
      <c r="E45" s="401">
        <f t="shared" ca="1" si="2"/>
        <v>3.3390000000000004</v>
      </c>
      <c r="F45" s="401">
        <f t="shared" ca="1" si="3"/>
        <v>2.8225000000000002</v>
      </c>
      <c r="G45" s="408">
        <f t="shared" ca="1" si="4"/>
        <v>161.90671667913847</v>
      </c>
      <c r="H45" s="404">
        <f t="shared" ca="1" si="5"/>
        <v>2.5206835395076593E-4</v>
      </c>
      <c r="I45" s="404">
        <f t="shared" ca="1" si="6"/>
        <v>2.9819529985530824E-4</v>
      </c>
      <c r="J45" s="404">
        <f t="shared" ca="1" si="7"/>
        <v>962.94931564435706</v>
      </c>
      <c r="K45" s="411">
        <f t="shared" ca="1" si="8"/>
        <v>497.01480008070428</v>
      </c>
      <c r="L45" s="414">
        <f t="shared" ca="1" si="9"/>
        <v>4553.0473221031898</v>
      </c>
      <c r="M45" s="417">
        <f t="shared" ca="1" si="10"/>
        <v>26.162925904765032</v>
      </c>
    </row>
    <row r="46" spans="1:13" x14ac:dyDescent="0.2">
      <c r="B46" s="426">
        <f t="shared" ca="1" si="0"/>
        <v>54</v>
      </c>
      <c r="C46" s="404">
        <f t="shared" ca="1" si="1"/>
        <v>8.4165623384160752E-4</v>
      </c>
      <c r="D46" s="401">
        <f ca="1">MpropuPlein+0.75*MasseSans</f>
        <v>4.9407499999999995</v>
      </c>
      <c r="E46" s="401">
        <f t="shared" ca="1" si="2"/>
        <v>4.4242499999999998</v>
      </c>
      <c r="F46" s="401">
        <f t="shared" ca="1" si="3"/>
        <v>3.9077499999999996</v>
      </c>
      <c r="G46" s="408">
        <f t="shared" ca="1" si="4"/>
        <v>119.78532508145867</v>
      </c>
      <c r="H46" s="404">
        <f t="shared" ca="1" si="5"/>
        <v>1.9023704217474319E-4</v>
      </c>
      <c r="I46" s="404">
        <f t="shared" ca="1" si="6"/>
        <v>2.1538128944830341E-4</v>
      </c>
      <c r="J46" s="404">
        <f t="shared" ca="1" si="7"/>
        <v>736.8375217792061</v>
      </c>
      <c r="K46" s="411">
        <f t="shared" ca="1" si="8"/>
        <v>392.35118185281385</v>
      </c>
      <c r="L46" s="414">
        <f t="shared" ca="1" si="9"/>
        <v>4165.6388881891562</v>
      </c>
      <c r="M46" s="417">
        <f t="shared" ca="1" si="10"/>
        <v>26.924830464162451</v>
      </c>
    </row>
    <row r="47" spans="1:13" x14ac:dyDescent="0.2">
      <c r="B47" s="426">
        <f t="shared" ca="1" si="0"/>
        <v>54</v>
      </c>
      <c r="C47" s="404">
        <f t="shared" ca="1" si="1"/>
        <v>8.4165623384160752E-4</v>
      </c>
      <c r="D47" s="401">
        <f ca="1">MpropuPlein+1*MasseSans</f>
        <v>6.0259999999999998</v>
      </c>
      <c r="E47" s="401">
        <f t="shared" ca="1" si="2"/>
        <v>5.5095000000000001</v>
      </c>
      <c r="F47" s="401">
        <f t="shared" ca="1" si="3"/>
        <v>4.9930000000000003</v>
      </c>
      <c r="G47" s="408">
        <f t="shared" ca="1" si="4"/>
        <v>94.25790398251084</v>
      </c>
      <c r="H47" s="404">
        <f t="shared" ca="1" si="5"/>
        <v>1.527645401291601E-4</v>
      </c>
      <c r="I47" s="404">
        <f t="shared" ca="1" si="6"/>
        <v>1.6856724090558931E-4</v>
      </c>
      <c r="J47" s="404">
        <f t="shared" ca="1" si="7"/>
        <v>589.496075411986</v>
      </c>
      <c r="K47" s="411">
        <f t="shared" ca="1" si="8"/>
        <v>318.89871499964164</v>
      </c>
      <c r="L47" s="414">
        <f t="shared" ca="1" si="9"/>
        <v>3587.3515743847634</v>
      </c>
      <c r="M47" s="417">
        <f t="shared" ca="1" si="10"/>
        <v>26.291654561394136</v>
      </c>
    </row>
    <row r="48" spans="1:13" x14ac:dyDescent="0.2">
      <c r="B48" s="426">
        <f t="shared" ca="1" si="0"/>
        <v>54</v>
      </c>
      <c r="C48" s="404">
        <f t="shared" ca="1" si="1"/>
        <v>8.4165623384160752E-4</v>
      </c>
      <c r="D48" s="401">
        <f ca="1">MpropuPlein+1.25*MasseSans</f>
        <v>7.1112500000000001</v>
      </c>
      <c r="E48" s="401">
        <f t="shared" ca="1" si="2"/>
        <v>6.5947500000000003</v>
      </c>
      <c r="F48" s="401">
        <f t="shared" ca="1" si="3"/>
        <v>6.0782500000000006</v>
      </c>
      <c r="G48" s="408">
        <f t="shared" ca="1" si="4"/>
        <v>77.13220660247066</v>
      </c>
      <c r="H48" s="404">
        <f t="shared" ca="1" si="5"/>
        <v>1.2762519183314114E-4</v>
      </c>
      <c r="I48" s="404">
        <f t="shared" ca="1" si="6"/>
        <v>1.3847015733831406E-4</v>
      </c>
      <c r="J48" s="404">
        <f t="shared" ca="1" si="7"/>
        <v>486.87617637759405</v>
      </c>
      <c r="K48" s="411">
        <f t="shared" ca="1" si="8"/>
        <v>265.75952252832701</v>
      </c>
      <c r="L48" s="414">
        <f t="shared" ca="1" si="9"/>
        <v>2984.2056540763497</v>
      </c>
      <c r="M48" s="417">
        <f t="shared" ca="1" si="10"/>
        <v>24.878844258381211</v>
      </c>
    </row>
    <row r="49" spans="2:13" x14ac:dyDescent="0.2">
      <c r="B49" s="426">
        <f t="shared" ca="1" si="0"/>
        <v>54</v>
      </c>
      <c r="C49" s="404">
        <f t="shared" ca="1" si="1"/>
        <v>8.4165623384160752E-4</v>
      </c>
      <c r="D49" s="401">
        <f ca="1">MpropuPlein+1.5*MasseSans</f>
        <v>8.1965000000000003</v>
      </c>
      <c r="E49" s="401">
        <f t="shared" ca="1" si="2"/>
        <v>7.6800000000000006</v>
      </c>
      <c r="F49" s="401">
        <f t="shared" ca="1" si="3"/>
        <v>7.1635000000000009</v>
      </c>
      <c r="G49" s="408">
        <f t="shared" ca="1" si="4"/>
        <v>64.846525649953563</v>
      </c>
      <c r="H49" s="404">
        <f t="shared" ca="1" si="5"/>
        <v>1.0959065544812596E-4</v>
      </c>
      <c r="I49" s="404">
        <f t="shared" ca="1" si="6"/>
        <v>1.1749231993321804E-4</v>
      </c>
      <c r="J49" s="404">
        <f t="shared" ca="1" si="7"/>
        <v>411.6469780948633</v>
      </c>
      <c r="K49" s="411">
        <f t="shared" ca="1" si="8"/>
        <v>225.94273386491108</v>
      </c>
      <c r="L49" s="414">
        <f t="shared" ca="1" si="9"/>
        <v>2442.05063508084</v>
      </c>
      <c r="M49" s="417">
        <f t="shared" ca="1" si="10"/>
        <v>23.137180135569562</v>
      </c>
    </row>
    <row r="50" spans="2:13" x14ac:dyDescent="0.2">
      <c r="B50" s="426">
        <f t="shared" ca="1" si="0"/>
        <v>54</v>
      </c>
      <c r="C50" s="404">
        <f t="shared" ca="1" si="1"/>
        <v>8.4165623384160752E-4</v>
      </c>
      <c r="D50" s="401">
        <f ca="1">MpropuPlein+1.75*MasseSans</f>
        <v>9.2817500000000006</v>
      </c>
      <c r="E50" s="401">
        <f t="shared" ca="1" si="2"/>
        <v>8.76525</v>
      </c>
      <c r="F50" s="401">
        <f t="shared" ca="1" si="3"/>
        <v>8.2487500000000011</v>
      </c>
      <c r="G50" s="408">
        <f t="shared" ca="1" si="4"/>
        <v>55.603093407677292</v>
      </c>
      <c r="H50" s="404">
        <f t="shared" ca="1" si="5"/>
        <v>9.6021931358672891E-5</v>
      </c>
      <c r="I50" s="404">
        <f t="shared" ca="1" si="6"/>
        <v>1.0203439719249673E-4</v>
      </c>
      <c r="J50" s="404">
        <f t="shared" ca="1" si="7"/>
        <v>354.27370483799626</v>
      </c>
      <c r="K50" s="411">
        <f t="shared" ca="1" si="8"/>
        <v>195.15913715313931</v>
      </c>
      <c r="L50" s="414">
        <f t="shared" ca="1" si="9"/>
        <v>1989.5832544404213</v>
      </c>
      <c r="M50" s="417">
        <f t="shared" ca="1" si="10"/>
        <v>21.345852561782305</v>
      </c>
    </row>
    <row r="51" spans="2:13" x14ac:dyDescent="0.2">
      <c r="B51" s="427">
        <f t="shared" ca="1" si="0"/>
        <v>54</v>
      </c>
      <c r="C51" s="405">
        <f t="shared" ca="1" si="1"/>
        <v>8.4165623384160752E-4</v>
      </c>
      <c r="D51" s="402">
        <f ca="1">MpropuPlein+2*MasseSans</f>
        <v>10.367000000000001</v>
      </c>
      <c r="E51" s="402">
        <f t="shared" ca="1" si="2"/>
        <v>9.8505000000000003</v>
      </c>
      <c r="F51" s="402">
        <f t="shared" ca="1" si="3"/>
        <v>9.3340000000000014</v>
      </c>
      <c r="G51" s="409">
        <f t="shared" ca="1" si="4"/>
        <v>48.396397339388194</v>
      </c>
      <c r="H51" s="405">
        <f t="shared" ca="1" si="5"/>
        <v>8.5442996177007E-5</v>
      </c>
      <c r="I51" s="405">
        <f t="shared" ca="1" si="6"/>
        <v>9.0171012839255132E-5</v>
      </c>
      <c r="J51" s="405">
        <f t="shared" ca="1" si="7"/>
        <v>309.13742322232963</v>
      </c>
      <c r="K51" s="412">
        <f t="shared" ca="1" si="8"/>
        <v>170.72098541815038</v>
      </c>
      <c r="L51" s="415">
        <f t="shared" ca="1" si="9"/>
        <v>1625.311636412684</v>
      </c>
      <c r="M51" s="418">
        <f t="shared" ca="1" si="10"/>
        <v>19.648866015797001</v>
      </c>
    </row>
    <row r="52" spans="2:13" x14ac:dyDescent="0.2">
      <c r="B52" s="425">
        <f t="shared" ref="B52:B60" si="11">D_ref</f>
        <v>104</v>
      </c>
      <c r="C52" s="403">
        <f t="shared" si="1"/>
        <v>3.12186345172525E-3</v>
      </c>
      <c r="D52" s="400">
        <f ca="1">MpropuPlein+0*MasseSans</f>
        <v>1.6850000000000001</v>
      </c>
      <c r="E52" s="400">
        <f t="shared" ca="1" si="2"/>
        <v>1.1685000000000001</v>
      </c>
      <c r="F52" s="400">
        <f t="shared" ca="1" si="3"/>
        <v>0.65200000000000014</v>
      </c>
      <c r="G52" s="407">
        <f t="shared" ca="1" si="4"/>
        <v>480.87217115245477</v>
      </c>
      <c r="H52" s="403">
        <f t="shared" ca="1" si="5"/>
        <v>2.6716845971118952E-3</v>
      </c>
      <c r="I52" s="403">
        <f t="shared" ca="1" si="6"/>
        <v>4.7881341284129594E-3</v>
      </c>
      <c r="J52" s="403">
        <f t="shared" ca="1" si="7"/>
        <v>1263.7261629196619</v>
      </c>
      <c r="K52" s="410">
        <f t="shared" ca="1" si="8"/>
        <v>424.00255764491766</v>
      </c>
      <c r="L52" s="413">
        <f t="shared" ca="1" si="9"/>
        <v>1732.1543650816982</v>
      </c>
      <c r="M52" s="416">
        <f t="shared" ca="1" si="10"/>
        <v>10.347025133070924</v>
      </c>
    </row>
    <row r="53" spans="2:13" x14ac:dyDescent="0.2">
      <c r="B53" s="426">
        <f t="shared" si="11"/>
        <v>104</v>
      </c>
      <c r="C53" s="404">
        <f t="shared" si="1"/>
        <v>3.12186345172525E-3</v>
      </c>
      <c r="D53" s="401">
        <f ca="1">MpropuPlein+0.25*MasseSans</f>
        <v>2.7702499999999999</v>
      </c>
      <c r="E53" s="401">
        <f t="shared" ca="1" si="2"/>
        <v>2.2537500000000001</v>
      </c>
      <c r="F53" s="401">
        <f t="shared" ca="1" si="3"/>
        <v>1.73725</v>
      </c>
      <c r="G53" s="408">
        <f t="shared" ca="1" si="4"/>
        <v>244.59360154925943</v>
      </c>
      <c r="H53" s="404">
        <f t="shared" ca="1" si="5"/>
        <v>1.3851862237272323E-3</v>
      </c>
      <c r="I53" s="404">
        <f t="shared" ca="1" si="6"/>
        <v>1.7970145066773637E-3</v>
      </c>
      <c r="J53" s="404">
        <f t="shared" ca="1" si="7"/>
        <v>1019.1297478402722</v>
      </c>
      <c r="K53" s="411">
        <f t="shared" ca="1" si="8"/>
        <v>407.53948150889693</v>
      </c>
      <c r="L53" s="414">
        <f t="shared" ca="1" si="9"/>
        <v>1978.3831355060081</v>
      </c>
      <c r="M53" s="417">
        <f t="shared" ca="1" si="10"/>
        <v>14.069889233030292</v>
      </c>
    </row>
    <row r="54" spans="2:13" x14ac:dyDescent="0.2">
      <c r="B54" s="426">
        <f t="shared" si="11"/>
        <v>104</v>
      </c>
      <c r="C54" s="404">
        <f t="shared" si="1"/>
        <v>3.12186345172525E-3</v>
      </c>
      <c r="D54" s="401">
        <f ca="1">MpropuPlein+0.5*MasseSans</f>
        <v>3.8555000000000001</v>
      </c>
      <c r="E54" s="401">
        <f t="shared" ca="1" si="2"/>
        <v>3.3390000000000004</v>
      </c>
      <c r="F54" s="401">
        <f t="shared" ca="1" si="3"/>
        <v>2.8225000000000002</v>
      </c>
      <c r="G54" s="408">
        <f t="shared" ca="1" si="4"/>
        <v>161.90671667913847</v>
      </c>
      <c r="H54" s="404">
        <f t="shared" ca="1" si="5"/>
        <v>9.3496958721930206E-4</v>
      </c>
      <c r="I54" s="404">
        <f t="shared" ca="1" si="6"/>
        <v>1.1060632247033657E-3</v>
      </c>
      <c r="J54" s="404">
        <f t="shared" ca="1" si="7"/>
        <v>816.1005050974685</v>
      </c>
      <c r="K54" s="411">
        <f t="shared" ca="1" si="8"/>
        <v>368.13418330906143</v>
      </c>
      <c r="L54" s="414">
        <f t="shared" ca="1" si="9"/>
        <v>2077.3019652331041</v>
      </c>
      <c r="M54" s="417">
        <f t="shared" ca="1" si="10"/>
        <v>16.265441084335613</v>
      </c>
    </row>
    <row r="55" spans="2:13" x14ac:dyDescent="0.2">
      <c r="B55" s="426">
        <f t="shared" si="11"/>
        <v>104</v>
      </c>
      <c r="C55" s="404">
        <f t="shared" si="1"/>
        <v>3.12186345172525E-3</v>
      </c>
      <c r="D55" s="401">
        <f ca="1">MpropuPlein+0.75*MasseSans</f>
        <v>4.9407499999999995</v>
      </c>
      <c r="E55" s="401">
        <f t="shared" ca="1" si="2"/>
        <v>4.4242499999999998</v>
      </c>
      <c r="F55" s="401">
        <f t="shared" ca="1" si="3"/>
        <v>3.9077499999999996</v>
      </c>
      <c r="G55" s="408">
        <f t="shared" ca="1" si="4"/>
        <v>119.78532508145867</v>
      </c>
      <c r="H55" s="404">
        <f t="shared" ca="1" si="5"/>
        <v>7.0562546233265532E-4</v>
      </c>
      <c r="I55" s="404">
        <f t="shared" ca="1" si="6"/>
        <v>7.9889026977806926E-4</v>
      </c>
      <c r="J55" s="404">
        <f t="shared" ca="1" si="7"/>
        <v>662.48901219054608</v>
      </c>
      <c r="K55" s="411">
        <f t="shared" ca="1" si="8"/>
        <v>321.10603155859468</v>
      </c>
      <c r="L55" s="414">
        <f t="shared" ca="1" si="9"/>
        <v>2064.6664110424081</v>
      </c>
      <c r="M55" s="417">
        <f t="shared" ca="1" si="10"/>
        <v>17.579952858954542</v>
      </c>
    </row>
    <row r="56" spans="2:13" x14ac:dyDescent="0.2">
      <c r="B56" s="426">
        <f t="shared" si="11"/>
        <v>104</v>
      </c>
      <c r="C56" s="404">
        <f t="shared" si="1"/>
        <v>3.12186345172525E-3</v>
      </c>
      <c r="D56" s="401">
        <f ca="1">MpropuPlein+1*MasseSans</f>
        <v>6.0259999999999998</v>
      </c>
      <c r="E56" s="401">
        <f t="shared" ca="1" si="2"/>
        <v>5.5095000000000001</v>
      </c>
      <c r="F56" s="401">
        <f t="shared" ca="1" si="3"/>
        <v>4.9930000000000003</v>
      </c>
      <c r="G56" s="408">
        <f t="shared" ca="1" si="4"/>
        <v>94.25790398251084</v>
      </c>
      <c r="H56" s="404">
        <f t="shared" ca="1" si="5"/>
        <v>5.6663280728292038E-4</v>
      </c>
      <c r="I56" s="404">
        <f t="shared" ca="1" si="6"/>
        <v>6.252480375976867E-4</v>
      </c>
      <c r="J56" s="404">
        <f t="shared" ca="1" si="7"/>
        <v>548.32129360904969</v>
      </c>
      <c r="K56" s="411">
        <f t="shared" ca="1" si="8"/>
        <v>277.46418837217715</v>
      </c>
      <c r="L56" s="414">
        <f t="shared" ca="1" si="9"/>
        <v>1968.6392481689463</v>
      </c>
      <c r="M56" s="417">
        <f t="shared" ca="1" si="10"/>
        <v>18.232186794961841</v>
      </c>
    </row>
    <row r="57" spans="2:13" x14ac:dyDescent="0.2">
      <c r="B57" s="426">
        <f t="shared" si="11"/>
        <v>104</v>
      </c>
      <c r="C57" s="404">
        <f t="shared" si="1"/>
        <v>3.12186345172525E-3</v>
      </c>
      <c r="D57" s="401">
        <f ca="1">MpropuPlein+1.25*MasseSans</f>
        <v>7.1112500000000001</v>
      </c>
      <c r="E57" s="401">
        <f t="shared" ca="1" si="2"/>
        <v>6.5947500000000003</v>
      </c>
      <c r="F57" s="401">
        <f t="shared" ca="1" si="3"/>
        <v>6.0782500000000006</v>
      </c>
      <c r="G57" s="408">
        <f t="shared" ca="1" si="4"/>
        <v>77.13220660247066</v>
      </c>
      <c r="H57" s="404">
        <f t="shared" ca="1" si="5"/>
        <v>4.7338617107930546E-4</v>
      </c>
      <c r="I57" s="404">
        <f t="shared" ca="1" si="6"/>
        <v>5.1361221597092082E-4</v>
      </c>
      <c r="J57" s="404">
        <f t="shared" ca="1" si="7"/>
        <v>462.34529446679784</v>
      </c>
      <c r="K57" s="411">
        <f t="shared" ca="1" si="8"/>
        <v>240.33690028860642</v>
      </c>
      <c r="L57" s="414">
        <f t="shared" ca="1" si="9"/>
        <v>1817.765247467489</v>
      </c>
      <c r="M57" s="417">
        <f t="shared" ca="1" si="10"/>
        <v>18.367325686521049</v>
      </c>
    </row>
    <row r="58" spans="2:13" x14ac:dyDescent="0.2">
      <c r="B58" s="426">
        <f t="shared" si="11"/>
        <v>104</v>
      </c>
      <c r="C58" s="404">
        <f t="shared" si="1"/>
        <v>3.12186345172525E-3</v>
      </c>
      <c r="D58" s="401">
        <f ca="1">MpropuPlein+1.5*MasseSans</f>
        <v>8.1965000000000003</v>
      </c>
      <c r="E58" s="401">
        <f t="shared" ca="1" si="2"/>
        <v>7.6800000000000006</v>
      </c>
      <c r="F58" s="401">
        <f t="shared" ca="1" si="3"/>
        <v>7.1635000000000009</v>
      </c>
      <c r="G58" s="408">
        <f t="shared" ca="1" si="4"/>
        <v>64.846525649953563</v>
      </c>
      <c r="H58" s="404">
        <f t="shared" ca="1" si="5"/>
        <v>4.0649263694339191E-4</v>
      </c>
      <c r="I58" s="404">
        <f t="shared" ca="1" si="6"/>
        <v>4.3580141714598305E-4</v>
      </c>
      <c r="J58" s="404">
        <f t="shared" ca="1" si="7"/>
        <v>396.15809111333147</v>
      </c>
      <c r="K58" s="411">
        <f t="shared" ca="1" si="8"/>
        <v>209.5858470507894</v>
      </c>
      <c r="L58" s="414">
        <f t="shared" ca="1" si="9"/>
        <v>1637.8651866255886</v>
      </c>
      <c r="M58" s="417">
        <f t="shared" ca="1" si="10"/>
        <v>18.111733072803059</v>
      </c>
    </row>
    <row r="59" spans="2:13" x14ac:dyDescent="0.2">
      <c r="B59" s="426">
        <f t="shared" si="11"/>
        <v>104</v>
      </c>
      <c r="C59" s="404">
        <f t="shared" si="1"/>
        <v>3.12186345172525E-3</v>
      </c>
      <c r="D59" s="401">
        <f ca="1">MpropuPlein+1.75*MasseSans</f>
        <v>9.2817500000000006</v>
      </c>
      <c r="E59" s="401">
        <f t="shared" ca="1" si="2"/>
        <v>8.76525</v>
      </c>
      <c r="F59" s="401">
        <f t="shared" ca="1" si="3"/>
        <v>8.2487500000000011</v>
      </c>
      <c r="G59" s="408">
        <f t="shared" ca="1" si="4"/>
        <v>55.603093407677292</v>
      </c>
      <c r="H59" s="404">
        <f t="shared" ca="1" si="5"/>
        <v>3.561636521177662E-4</v>
      </c>
      <c r="I59" s="404">
        <f t="shared" ca="1" si="6"/>
        <v>3.7846503430522801E-4</v>
      </c>
      <c r="J59" s="404">
        <f t="shared" ca="1" si="7"/>
        <v>344.03019413978552</v>
      </c>
      <c r="K59" s="411">
        <f t="shared" ca="1" si="8"/>
        <v>184.2037950062265</v>
      </c>
      <c r="L59" s="414">
        <f t="shared" ca="1" si="9"/>
        <v>1449.5922175821752</v>
      </c>
      <c r="M59" s="417">
        <f t="shared" ca="1" si="10"/>
        <v>17.581267239251943</v>
      </c>
    </row>
    <row r="60" spans="2:13" x14ac:dyDescent="0.2">
      <c r="B60" s="427">
        <f t="shared" si="11"/>
        <v>104</v>
      </c>
      <c r="C60" s="405">
        <f t="shared" si="1"/>
        <v>3.12186345172525E-3</v>
      </c>
      <c r="D60" s="402">
        <f ca="1">MpropuPlein+2*MasseSans</f>
        <v>10.367000000000001</v>
      </c>
      <c r="E60" s="402">
        <f t="shared" ca="1" si="2"/>
        <v>9.8505000000000003</v>
      </c>
      <c r="F60" s="402">
        <f t="shared" ca="1" si="3"/>
        <v>9.3340000000000014</v>
      </c>
      <c r="G60" s="409">
        <f t="shared" ca="1" si="4"/>
        <v>48.396397339388194</v>
      </c>
      <c r="H60" s="405">
        <f t="shared" ca="1" si="5"/>
        <v>3.1692436442061316E-4</v>
      </c>
      <c r="I60" s="405">
        <f t="shared" ca="1" si="6"/>
        <v>3.3446147972201085E-4</v>
      </c>
      <c r="J60" s="405">
        <f t="shared" ca="1" si="7"/>
        <v>302.10497122205317</v>
      </c>
      <c r="K60" s="412">
        <f t="shared" ca="1" si="8"/>
        <v>163.13286966382839</v>
      </c>
      <c r="L60" s="415">
        <f t="shared" ca="1" si="9"/>
        <v>1267.3859982115696</v>
      </c>
      <c r="M60" s="418">
        <f t="shared" ca="1" si="10"/>
        <v>16.87708978266248</v>
      </c>
    </row>
    <row r="61" spans="2:13" x14ac:dyDescent="0.2">
      <c r="B61" s="425">
        <f t="shared" ref="B61:B69" si="12">D_ref*1.5</f>
        <v>156</v>
      </c>
      <c r="C61" s="403">
        <f t="shared" si="1"/>
        <v>7.0241927663818107E-3</v>
      </c>
      <c r="D61" s="400">
        <f ca="1">MpropuPlein+0*MasseSans</f>
        <v>1.6850000000000001</v>
      </c>
      <c r="E61" s="400">
        <f t="shared" ca="1" si="2"/>
        <v>1.1685000000000001</v>
      </c>
      <c r="F61" s="400">
        <f t="shared" ca="1" si="3"/>
        <v>0.65200000000000014</v>
      </c>
      <c r="G61" s="407">
        <f t="shared" ca="1" si="4"/>
        <v>480.87217115245477</v>
      </c>
      <c r="H61" s="403">
        <f t="shared" ca="1" si="5"/>
        <v>6.0112903435017634E-3</v>
      </c>
      <c r="I61" s="403">
        <f t="shared" ca="1" si="6"/>
        <v>1.0773301788929155E-2</v>
      </c>
      <c r="J61" s="403">
        <f t="shared" ca="1" si="7"/>
        <v>900.06582779263226</v>
      </c>
      <c r="K61" s="410">
        <f t="shared" ca="1" si="8"/>
        <v>282.83075487995666</v>
      </c>
      <c r="L61" s="413">
        <f t="shared" ca="1" si="9"/>
        <v>1108.3088472586128</v>
      </c>
      <c r="M61" s="416">
        <f t="shared" ca="1" si="10"/>
        <v>8.0948698322266992</v>
      </c>
    </row>
    <row r="62" spans="2:13" x14ac:dyDescent="0.2">
      <c r="B62" s="426">
        <f t="shared" si="12"/>
        <v>156</v>
      </c>
      <c r="C62" s="404">
        <f t="shared" si="1"/>
        <v>7.0241927663818107E-3</v>
      </c>
      <c r="D62" s="401">
        <f ca="1">MpropuPlein+0.25*MasseSans</f>
        <v>2.7702499999999999</v>
      </c>
      <c r="E62" s="401">
        <f t="shared" ca="1" si="2"/>
        <v>2.2537500000000001</v>
      </c>
      <c r="F62" s="401">
        <f t="shared" ca="1" si="3"/>
        <v>1.73725</v>
      </c>
      <c r="G62" s="408">
        <f t="shared" ca="1" si="4"/>
        <v>244.59360154925943</v>
      </c>
      <c r="H62" s="404">
        <f t="shared" ca="1" si="5"/>
        <v>3.116669003386272E-3</v>
      </c>
      <c r="I62" s="404">
        <f t="shared" ca="1" si="6"/>
        <v>4.0432826400240672E-3</v>
      </c>
      <c r="J62" s="404">
        <f t="shared" ca="1" si="7"/>
        <v>783.91463662779938</v>
      </c>
      <c r="K62" s="411">
        <f t="shared" ca="1" si="8"/>
        <v>279.08201425582189</v>
      </c>
      <c r="L62" s="414">
        <f t="shared" ca="1" si="9"/>
        <v>1216.6801205533463</v>
      </c>
      <c r="M62" s="417">
        <f t="shared" ca="1" si="10"/>
        <v>10.599946796779745</v>
      </c>
    </row>
    <row r="63" spans="2:13" x14ac:dyDescent="0.2">
      <c r="B63" s="426">
        <f t="shared" si="12"/>
        <v>156</v>
      </c>
      <c r="C63" s="404">
        <f t="shared" si="1"/>
        <v>7.0241927663818107E-3</v>
      </c>
      <c r="D63" s="401">
        <f ca="1">MpropuPlein+0.5*MasseSans</f>
        <v>3.8555000000000001</v>
      </c>
      <c r="E63" s="401">
        <f t="shared" ca="1" si="2"/>
        <v>3.3390000000000004</v>
      </c>
      <c r="F63" s="401">
        <f t="shared" ca="1" si="3"/>
        <v>2.8225000000000002</v>
      </c>
      <c r="G63" s="408">
        <f t="shared" ca="1" si="4"/>
        <v>161.90671667913847</v>
      </c>
      <c r="H63" s="404">
        <f t="shared" ca="1" si="5"/>
        <v>2.1036815712434293E-3</v>
      </c>
      <c r="I63" s="404">
        <f t="shared" ca="1" si="6"/>
        <v>2.4886422555825721E-3</v>
      </c>
      <c r="J63" s="404">
        <f t="shared" ca="1" si="7"/>
        <v>673.59971805065288</v>
      </c>
      <c r="K63" s="411">
        <f t="shared" ca="1" si="8"/>
        <v>269.14709722114554</v>
      </c>
      <c r="L63" s="414">
        <f t="shared" ca="1" si="9"/>
        <v>1269.1218274870685</v>
      </c>
      <c r="M63" s="417">
        <f t="shared" ca="1" si="10"/>
        <v>12.176466031020142</v>
      </c>
    </row>
    <row r="64" spans="2:13" x14ac:dyDescent="0.2">
      <c r="B64" s="426">
        <f t="shared" si="12"/>
        <v>156</v>
      </c>
      <c r="C64" s="404">
        <f t="shared" si="1"/>
        <v>7.0241927663818107E-3</v>
      </c>
      <c r="D64" s="401">
        <f ca="1">MpropuPlein+0.75*MasseSans</f>
        <v>4.9407499999999995</v>
      </c>
      <c r="E64" s="401">
        <f t="shared" ca="1" si="2"/>
        <v>4.4242499999999998</v>
      </c>
      <c r="F64" s="401">
        <f t="shared" ca="1" si="3"/>
        <v>3.9077499999999996</v>
      </c>
      <c r="G64" s="408">
        <f t="shared" ca="1" si="4"/>
        <v>119.78532508145867</v>
      </c>
      <c r="H64" s="404">
        <f t="shared" ca="1" si="5"/>
        <v>1.587657290248474E-3</v>
      </c>
      <c r="I64" s="404">
        <f t="shared" ca="1" si="6"/>
        <v>1.7975031070006555E-3</v>
      </c>
      <c r="J64" s="404">
        <f t="shared" ca="1" si="7"/>
        <v>576.42876432359901</v>
      </c>
      <c r="K64" s="411">
        <f t="shared" ca="1" si="8"/>
        <v>251.6925416803345</v>
      </c>
      <c r="L64" s="414">
        <f t="shared" ca="1" si="9"/>
        <v>1281.3781654966656</v>
      </c>
      <c r="M64" s="417">
        <f t="shared" ca="1" si="10"/>
        <v>13.269106340341512</v>
      </c>
    </row>
    <row r="65" spans="2:13" x14ac:dyDescent="0.2">
      <c r="B65" s="426">
        <f t="shared" si="12"/>
        <v>156</v>
      </c>
      <c r="C65" s="404">
        <f t="shared" si="1"/>
        <v>7.0241927663818107E-3</v>
      </c>
      <c r="D65" s="401">
        <f ca="1">MpropuPlein+1*MasseSans</f>
        <v>6.0259999999999998</v>
      </c>
      <c r="E65" s="401">
        <f t="shared" ca="1" si="2"/>
        <v>5.5095000000000001</v>
      </c>
      <c r="F65" s="401">
        <f t="shared" ca="1" si="3"/>
        <v>4.9930000000000003</v>
      </c>
      <c r="G65" s="408">
        <f t="shared" ca="1" si="4"/>
        <v>94.25790398251084</v>
      </c>
      <c r="H65" s="404">
        <f t="shared" ca="1" si="5"/>
        <v>1.2749238163865706E-3</v>
      </c>
      <c r="I65" s="404">
        <f t="shared" ca="1" si="6"/>
        <v>1.4068080845947948E-3</v>
      </c>
      <c r="J65" s="404">
        <f t="shared" ca="1" si="7"/>
        <v>494.996315589294</v>
      </c>
      <c r="K65" s="411">
        <f t="shared" ca="1" si="8"/>
        <v>230.23114608478488</v>
      </c>
      <c r="L65" s="414">
        <f t="shared" ca="1" si="9"/>
        <v>1259.8219671329907</v>
      </c>
      <c r="M65" s="417">
        <f t="shared" ca="1" si="10"/>
        <v>13.999281303560311</v>
      </c>
    </row>
    <row r="66" spans="2:13" x14ac:dyDescent="0.2">
      <c r="B66" s="426">
        <f t="shared" si="12"/>
        <v>156</v>
      </c>
      <c r="C66" s="404">
        <f t="shared" si="1"/>
        <v>7.0241927663818107E-3</v>
      </c>
      <c r="D66" s="401">
        <f ca="1">MpropuPlein+1.25*MasseSans</f>
        <v>7.1112500000000001</v>
      </c>
      <c r="E66" s="401">
        <f t="shared" ca="1" si="2"/>
        <v>6.5947500000000003</v>
      </c>
      <c r="F66" s="401">
        <f t="shared" ca="1" si="3"/>
        <v>6.0782500000000006</v>
      </c>
      <c r="G66" s="408">
        <f t="shared" ca="1" si="4"/>
        <v>77.13220660247066</v>
      </c>
      <c r="H66" s="404">
        <f t="shared" ca="1" si="5"/>
        <v>1.065118884928437E-3</v>
      </c>
      <c r="I66" s="404">
        <f t="shared" ca="1" si="6"/>
        <v>1.1556274859345717E-3</v>
      </c>
      <c r="J66" s="404">
        <f t="shared" ca="1" si="7"/>
        <v>428.15289768604919</v>
      </c>
      <c r="K66" s="411">
        <f t="shared" ca="1" si="8"/>
        <v>208.15216035574045</v>
      </c>
      <c r="L66" s="414">
        <f t="shared" ca="1" si="9"/>
        <v>1210.8204888306473</v>
      </c>
      <c r="M66" s="417">
        <f t="shared" ca="1" si="10"/>
        <v>14.429127750378928</v>
      </c>
    </row>
    <row r="67" spans="2:13" x14ac:dyDescent="0.2">
      <c r="B67" s="426">
        <f t="shared" si="12"/>
        <v>156</v>
      </c>
      <c r="C67" s="404">
        <f t="shared" si="1"/>
        <v>7.0241927663818107E-3</v>
      </c>
      <c r="D67" s="401">
        <f ca="1">MpropuPlein+1.5*MasseSans</f>
        <v>8.1965000000000003</v>
      </c>
      <c r="E67" s="401">
        <f t="shared" ca="1" si="2"/>
        <v>7.6800000000000006</v>
      </c>
      <c r="F67" s="401">
        <f t="shared" ca="1" si="3"/>
        <v>7.1635000000000009</v>
      </c>
      <c r="G67" s="408">
        <f t="shared" ca="1" si="4"/>
        <v>64.846525649953563</v>
      </c>
      <c r="H67" s="404">
        <f t="shared" ca="1" si="5"/>
        <v>9.1460843312263153E-4</v>
      </c>
      <c r="I67" s="404">
        <f t="shared" ca="1" si="6"/>
        <v>9.8055318857846155E-4</v>
      </c>
      <c r="J67" s="404">
        <f t="shared" ca="1" si="7"/>
        <v>373.46821032193407</v>
      </c>
      <c r="K67" s="411">
        <f t="shared" ca="1" si="8"/>
        <v>187.33500629102403</v>
      </c>
      <c r="L67" s="414">
        <f t="shared" ca="1" si="9"/>
        <v>1141.3095528181052</v>
      </c>
      <c r="M67" s="417">
        <f t="shared" ca="1" si="10"/>
        <v>14.605543868165235</v>
      </c>
    </row>
    <row r="68" spans="2:13" x14ac:dyDescent="0.2">
      <c r="B68" s="426">
        <f t="shared" si="12"/>
        <v>156</v>
      </c>
      <c r="C68" s="404">
        <f t="shared" si="1"/>
        <v>7.0241927663818107E-3</v>
      </c>
      <c r="D68" s="401">
        <f ca="1">MpropuPlein+1.75*MasseSans</f>
        <v>9.2817500000000006</v>
      </c>
      <c r="E68" s="401">
        <f t="shared" ca="1" si="2"/>
        <v>8.76525</v>
      </c>
      <c r="F68" s="401">
        <f t="shared" ca="1" si="3"/>
        <v>8.2487500000000011</v>
      </c>
      <c r="G68" s="408">
        <f t="shared" ca="1" si="4"/>
        <v>55.603093407677292</v>
      </c>
      <c r="H68" s="404">
        <f t="shared" ca="1" si="5"/>
        <v>8.013682172649737E-4</v>
      </c>
      <c r="I68" s="404">
        <f t="shared" ca="1" si="6"/>
        <v>8.5154632718676283E-4</v>
      </c>
      <c r="J68" s="404">
        <f t="shared" ca="1" si="7"/>
        <v>328.49363068491601</v>
      </c>
      <c r="K68" s="411">
        <f t="shared" ca="1" si="8"/>
        <v>168.5261740856111</v>
      </c>
      <c r="L68" s="414">
        <f t="shared" ca="1" si="9"/>
        <v>1058.2285153770229</v>
      </c>
      <c r="M68" s="417">
        <f t="shared" ca="1" si="10"/>
        <v>14.571526199137885</v>
      </c>
    </row>
    <row r="69" spans="2:13" x14ac:dyDescent="0.2">
      <c r="B69" s="427">
        <f t="shared" si="12"/>
        <v>156</v>
      </c>
      <c r="C69" s="405">
        <f t="shared" si="1"/>
        <v>7.0241927663818107E-3</v>
      </c>
      <c r="D69" s="402">
        <f ca="1">MpropuPlein+2*MasseSans</f>
        <v>10.367000000000001</v>
      </c>
      <c r="E69" s="402">
        <f t="shared" ca="1" si="2"/>
        <v>9.8505000000000003</v>
      </c>
      <c r="F69" s="402">
        <f t="shared" ca="1" si="3"/>
        <v>9.3340000000000014</v>
      </c>
      <c r="G69" s="409">
        <f t="shared" ca="1" si="4"/>
        <v>48.396397339388194</v>
      </c>
      <c r="H69" s="405">
        <f t="shared" ca="1" si="5"/>
        <v>7.1307981994637938E-4</v>
      </c>
      <c r="I69" s="405">
        <f t="shared" ca="1" si="6"/>
        <v>7.5253832937452426E-4</v>
      </c>
      <c r="J69" s="405">
        <f t="shared" ca="1" si="7"/>
        <v>291.16846388844766</v>
      </c>
      <c r="K69" s="412">
        <f t="shared" ca="1" si="8"/>
        <v>151.86794356802662</v>
      </c>
      <c r="L69" s="415">
        <f t="shared" ca="1" si="9"/>
        <v>967.93160410469068</v>
      </c>
      <c r="M69" s="418">
        <f t="shared" ca="1" si="10"/>
        <v>14.369010368485604</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1:D11"/>
    <mergeCell ref="C13:D13"/>
    <mergeCell ref="C15:D15"/>
    <mergeCell ref="C16:D16"/>
    <mergeCell ref="C17:D17"/>
    <mergeCell ref="C12:D12"/>
    <mergeCell ref="C10:D10"/>
    <mergeCell ref="C9:D9"/>
    <mergeCell ref="C2:D3"/>
    <mergeCell ref="C4:D4"/>
    <mergeCell ref="C5:D5"/>
    <mergeCell ref="C7:D7"/>
    <mergeCell ref="C8:D8"/>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632" t="s">
        <v>178</v>
      </c>
      <c r="D2" s="632"/>
    </row>
    <row r="3" spans="3:8" x14ac:dyDescent="0.2">
      <c r="C3" s="632"/>
      <c r="D3" s="632"/>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541</v>
      </c>
      <c r="D47" t="s">
        <v>395</v>
      </c>
      <c r="E47" s="16">
        <v>43048</v>
      </c>
      <c r="F47" t="s">
        <v>542</v>
      </c>
    </row>
    <row r="48" spans="3:6" x14ac:dyDescent="0.2">
      <c r="C48" t="s">
        <v>545</v>
      </c>
      <c r="D48" t="s">
        <v>395</v>
      </c>
      <c r="E48" s="16">
        <v>44160</v>
      </c>
      <c r="F48" t="s">
        <v>546</v>
      </c>
    </row>
    <row r="49" spans="3:6" x14ac:dyDescent="0.2">
      <c r="C49" t="s">
        <v>554</v>
      </c>
      <c r="D49" t="s">
        <v>552</v>
      </c>
      <c r="E49" s="16">
        <v>45300</v>
      </c>
      <c r="F49" t="s">
        <v>553</v>
      </c>
    </row>
    <row r="50" spans="3:6" x14ac:dyDescent="0.2">
      <c r="C50" t="s">
        <v>556</v>
      </c>
      <c r="D50" t="s">
        <v>395</v>
      </c>
      <c r="E50" s="16">
        <v>45322</v>
      </c>
      <c r="F50" t="s">
        <v>561</v>
      </c>
    </row>
    <row r="51" spans="3:6" x14ac:dyDescent="0.2">
      <c r="C51" t="s">
        <v>565</v>
      </c>
      <c r="D51" t="s">
        <v>395</v>
      </c>
      <c r="E51" s="16">
        <v>45325</v>
      </c>
      <c r="F51" t="s">
        <v>564</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428</v>
      </c>
      <c r="N3" s="75"/>
      <c r="O3" s="6"/>
      <c r="P3" s="273" t="s">
        <v>340</v>
      </c>
      <c r="Q3" s="441">
        <f>Long_ogive</f>
        <v>1</v>
      </c>
      <c r="R3" s="48"/>
      <c r="S3" s="48"/>
      <c r="T3" s="48"/>
      <c r="U3" s="48"/>
    </row>
    <row r="4" spans="2:21" ht="15.75" customHeight="1" x14ac:dyDescent="0.2">
      <c r="B4" s="74"/>
      <c r="D4" s="2" t="s">
        <v>563</v>
      </c>
      <c r="E4" t="str">
        <f>Matricule</f>
        <v>FX0</v>
      </c>
      <c r="N4" s="75"/>
      <c r="O4" s="6"/>
      <c r="P4" s="273"/>
      <c r="Q4" s="436"/>
      <c r="R4" s="48"/>
      <c r="S4" s="48"/>
      <c r="T4" s="48"/>
      <c r="U4" s="48"/>
    </row>
    <row r="5" spans="2:21" ht="15.75" customHeight="1" x14ac:dyDescent="0.2">
      <c r="B5" s="74"/>
      <c r="D5" t="s">
        <v>461</v>
      </c>
      <c r="E5" t="str">
        <f>Propu</f>
        <v>Barasinga (Pro54-5G C)</v>
      </c>
      <c r="G5" t="s">
        <v>458</v>
      </c>
      <c r="H5">
        <f>MasseSans</f>
        <v>4.3410000000000002</v>
      </c>
      <c r="N5" s="75"/>
      <c r="O5" s="6"/>
      <c r="P5" s="273"/>
      <c r="Q5" s="436"/>
      <c r="R5" s="48"/>
      <c r="S5" s="48"/>
      <c r="T5" s="48"/>
      <c r="U5" s="48"/>
    </row>
    <row r="6" spans="2:21" x14ac:dyDescent="0.2">
      <c r="B6" s="74"/>
      <c r="D6" t="s">
        <v>454</v>
      </c>
      <c r="E6" s="2" t="str">
        <f>Trajecto!H34</f>
        <v>Brun/Orange…</v>
      </c>
      <c r="G6" t="s">
        <v>459</v>
      </c>
      <c r="H6">
        <f>D_ref</f>
        <v>104</v>
      </c>
      <c r="N6" s="75"/>
      <c r="O6" s="6"/>
      <c r="P6" s="273"/>
      <c r="Q6" s="436"/>
      <c r="R6" s="48"/>
      <c r="S6" s="48"/>
      <c r="T6" s="48"/>
      <c r="U6" s="48"/>
    </row>
    <row r="7" spans="2:21" x14ac:dyDescent="0.2">
      <c r="B7" s="74"/>
      <c r="D7" t="s">
        <v>456</v>
      </c>
      <c r="E7" s="2" t="str">
        <f>Trajecto!H35</f>
        <v>Rouge…</v>
      </c>
      <c r="G7" t="s">
        <v>5</v>
      </c>
      <c r="H7">
        <f>Cx</f>
        <v>0.6</v>
      </c>
      <c r="N7" s="75"/>
      <c r="O7" s="6"/>
      <c r="P7" s="273"/>
      <c r="Q7" s="436"/>
      <c r="R7" s="48"/>
      <c r="S7" s="48"/>
      <c r="T7" s="48"/>
      <c r="U7" s="48"/>
    </row>
    <row r="8" spans="2:21" x14ac:dyDescent="0.2">
      <c r="B8" s="74"/>
      <c r="D8" t="s">
        <v>457</v>
      </c>
      <c r="E8" s="2">
        <f>S_para</f>
        <v>0.48049999999999998</v>
      </c>
      <c r="G8" t="s">
        <v>460</v>
      </c>
      <c r="H8">
        <f>L_rampe</f>
        <v>4</v>
      </c>
      <c r="N8" s="75"/>
      <c r="O8" s="6"/>
      <c r="P8" s="273"/>
      <c r="Q8" s="436"/>
      <c r="R8" s="48"/>
      <c r="S8" s="48"/>
      <c r="T8" s="48"/>
      <c r="U8" s="48"/>
    </row>
    <row r="9" spans="2:21" x14ac:dyDescent="0.2">
      <c r="B9" s="74"/>
      <c r="D9" t="s">
        <v>455</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453</v>
      </c>
      <c r="E11" s="243">
        <f>MasseSans</f>
        <v>4.3410000000000002</v>
      </c>
      <c r="F11" s="246" t="s">
        <v>123</v>
      </c>
      <c r="G11" s="246" t="s">
        <v>125</v>
      </c>
      <c r="H11" s="668">
        <f ca="1">Vsortie_de_rampe</f>
        <v>100.8462813403362</v>
      </c>
      <c r="I11" s="669"/>
      <c r="J11" s="76"/>
      <c r="N11" s="75"/>
      <c r="P11" s="48"/>
      <c r="Q11" s="436"/>
      <c r="R11" s="48"/>
      <c r="S11" s="48"/>
      <c r="T11" s="48"/>
      <c r="U11" s="440">
        <f>IF(RIGHT(Nb_diam,1)=",", "", X_j)</f>
        <v>1</v>
      </c>
    </row>
    <row r="12" spans="2:21" ht="13.5" thickBot="1" x14ac:dyDescent="0.25">
      <c r="B12" s="74"/>
      <c r="C12" s="12"/>
      <c r="D12" s="276"/>
      <c r="E12" s="244"/>
      <c r="F12" s="6" t="s">
        <v>123</v>
      </c>
      <c r="G12" s="6" t="s">
        <v>126</v>
      </c>
      <c r="H12" s="670">
        <f>Finesse</f>
        <v>10.76923076923077</v>
      </c>
      <c r="I12" s="671"/>
      <c r="J12" s="76"/>
      <c r="N12" s="75"/>
      <c r="O12" s="6"/>
      <c r="P12" s="273" t="s">
        <v>341</v>
      </c>
      <c r="Q12" s="441">
        <f>D_og</f>
        <v>84</v>
      </c>
      <c r="R12" s="48"/>
      <c r="S12" s="48"/>
      <c r="T12" s="48"/>
      <c r="U12" s="436"/>
    </row>
    <row r="13" spans="2:21" x14ac:dyDescent="0.2">
      <c r="B13" s="74"/>
      <c r="C13" s="12"/>
      <c r="D13" s="276" t="s">
        <v>5</v>
      </c>
      <c r="E13" s="244">
        <f>Cx</f>
        <v>0.6</v>
      </c>
      <c r="F13" s="6" t="s">
        <v>123</v>
      </c>
      <c r="G13" s="6" t="s">
        <v>432</v>
      </c>
      <c r="H13" s="670">
        <f>Cn</f>
        <v>16.203642049332345</v>
      </c>
      <c r="I13" s="671"/>
      <c r="J13" s="76"/>
      <c r="N13" s="75"/>
      <c r="O13" s="6"/>
      <c r="P13" s="48"/>
      <c r="Q13" s="436"/>
      <c r="R13" s="48"/>
      <c r="S13" s="48"/>
      <c r="T13" s="48"/>
      <c r="U13" s="440">
        <f>IF(RIGHT(Nb_diam,1)=",", "", X_r)</f>
        <v>1070</v>
      </c>
    </row>
    <row r="14" spans="2:21" x14ac:dyDescent="0.2">
      <c r="B14" s="74"/>
      <c r="C14" s="12"/>
      <c r="D14" s="276" t="s">
        <v>143</v>
      </c>
      <c r="E14" s="244">
        <f>L_rampe</f>
        <v>4</v>
      </c>
      <c r="F14" s="6" t="s">
        <v>123</v>
      </c>
      <c r="G14" s="6" t="s">
        <v>127</v>
      </c>
      <c r="H14" s="247">
        <f ca="1">MS_min</f>
        <v>2.4170096915877433</v>
      </c>
      <c r="I14" s="254">
        <f ca="1">MS_max</f>
        <v>2.9870282545438922</v>
      </c>
      <c r="J14" s="76"/>
      <c r="K14" s="76"/>
      <c r="N14" s="75"/>
      <c r="P14" s="48"/>
      <c r="Q14" s="436"/>
      <c r="R14" s="48"/>
      <c r="S14" s="48"/>
      <c r="T14" s="48"/>
      <c r="U14" s="436"/>
    </row>
    <row r="15" spans="2:21" x14ac:dyDescent="0.2">
      <c r="B15" s="74"/>
      <c r="C15" s="12"/>
      <c r="D15" s="276" t="s">
        <v>144</v>
      </c>
      <c r="E15" s="244">
        <f>ep_ail</f>
        <v>4</v>
      </c>
      <c r="F15" s="6" t="s">
        <v>123</v>
      </c>
      <c r="G15" s="6" t="s">
        <v>124</v>
      </c>
      <c r="H15" s="247">
        <f ca="1">MS_Cn_min</f>
        <v>39.164359872254956</v>
      </c>
      <c r="I15" s="254">
        <f ca="1">MS_Cn_max</f>
        <v>48.400736627871211</v>
      </c>
      <c r="J15" s="76"/>
      <c r="K15" s="76"/>
      <c r="N15" s="75"/>
      <c r="P15" s="48"/>
      <c r="Q15" s="436"/>
      <c r="R15" s="48"/>
      <c r="S15" s="48"/>
      <c r="T15" s="48"/>
    </row>
    <row r="16" spans="2:21" x14ac:dyDescent="0.2">
      <c r="B16" s="74"/>
      <c r="C16" s="12"/>
      <c r="D16" s="276" t="s">
        <v>145</v>
      </c>
      <c r="E16" s="244">
        <f>Q_ail</f>
        <v>4</v>
      </c>
      <c r="F16" s="6" t="s">
        <v>128</v>
      </c>
      <c r="G16" s="6" t="s">
        <v>129</v>
      </c>
      <c r="H16" s="247">
        <f ca="1">V_para</f>
        <v>12.900767376069568</v>
      </c>
      <c r="I16" s="253">
        <f>V_satellite</f>
        <v>12.655562623057198</v>
      </c>
      <c r="J16" s="76"/>
      <c r="N16" s="75"/>
      <c r="P16" s="48"/>
      <c r="Q16" s="436"/>
      <c r="R16" s="48"/>
      <c r="S16" s="48"/>
      <c r="T16" s="48"/>
      <c r="U16" s="440">
        <f>IF(RIGHT(Nb_diam,1)=",", "", l_j)</f>
        <v>60</v>
      </c>
    </row>
    <row r="17" spans="2:21" x14ac:dyDescent="0.2">
      <c r="B17" s="74"/>
      <c r="C17" s="12"/>
      <c r="D17" s="276" t="s">
        <v>146</v>
      </c>
      <c r="E17" s="272" t="str">
        <f>Forme_ogive</f>
        <v>Conique (droite)</v>
      </c>
      <c r="F17" s="6" t="s">
        <v>130</v>
      </c>
      <c r="G17" s="6" t="s">
        <v>131</v>
      </c>
      <c r="H17" s="670">
        <f>T_para</f>
        <v>16.399999999999999</v>
      </c>
      <c r="I17" s="671"/>
      <c r="J17" s="258"/>
      <c r="N17" s="75"/>
      <c r="P17" s="434" t="s">
        <v>342</v>
      </c>
      <c r="Q17" s="440">
        <f>IF(RIGHT(Nb_diam,1)=",", "", D2j)</f>
        <v>104</v>
      </c>
      <c r="R17" s="48"/>
      <c r="S17" s="48"/>
      <c r="T17" s="48"/>
      <c r="U17" s="436"/>
    </row>
    <row r="18" spans="2:21" x14ac:dyDescent="0.2">
      <c r="B18" s="74"/>
      <c r="C18" s="12"/>
      <c r="D18" s="276" t="s">
        <v>148</v>
      </c>
      <c r="E18" s="244">
        <f ca="1">XpropuRef-Long_propu</f>
        <v>632</v>
      </c>
      <c r="F18" s="12" t="s">
        <v>130</v>
      </c>
      <c r="G18" s="12" t="s">
        <v>426</v>
      </c>
      <c r="H18" s="635">
        <f ca="1">T_para-Combustion-Depotage</f>
        <v>16.399999999999999</v>
      </c>
      <c r="I18" s="674"/>
      <c r="N18" s="75"/>
      <c r="P18" s="48"/>
      <c r="Q18" s="436"/>
      <c r="R18" s="48"/>
      <c r="S18" s="48"/>
    </row>
    <row r="19" spans="2:21" x14ac:dyDescent="0.2">
      <c r="B19" s="74"/>
      <c r="C19" s="531"/>
      <c r="D19" s="269"/>
      <c r="E19" s="271"/>
      <c r="F19" s="519" t="s">
        <v>132</v>
      </c>
      <c r="G19" s="274" t="s">
        <v>425</v>
      </c>
      <c r="H19" s="675">
        <f ca="1">Portee_balistique</f>
        <v>928.20926186620727</v>
      </c>
      <c r="I19" s="676"/>
      <c r="N19" s="75"/>
      <c r="P19" s="48"/>
      <c r="Q19" s="436"/>
      <c r="R19" s="48"/>
      <c r="S19" s="48"/>
      <c r="T19" s="48"/>
    </row>
    <row r="20" spans="2:21" x14ac:dyDescent="0.2">
      <c r="B20" s="74"/>
      <c r="C20" s="12"/>
      <c r="D20" s="6"/>
      <c r="E20" s="6"/>
      <c r="H20" s="518"/>
      <c r="I20" s="518"/>
      <c r="N20" s="75"/>
      <c r="P20" s="48"/>
      <c r="Q20" s="436"/>
      <c r="R20" s="48"/>
      <c r="S20" s="48"/>
      <c r="T20" s="48"/>
      <c r="U20" s="440">
        <f>IF(RIGHT(Nb_diam,1)=",", "", l_r)</f>
        <v>50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452</v>
      </c>
      <c r="D22" s="526" t="s">
        <v>436</v>
      </c>
      <c r="E22" s="527"/>
      <c r="F22" s="528" t="s">
        <v>441</v>
      </c>
      <c r="G22" s="526" t="s">
        <v>446</v>
      </c>
      <c r="I22" s="529"/>
      <c r="J22" s="530" t="s">
        <v>156</v>
      </c>
      <c r="K22" s="526" t="s">
        <v>157</v>
      </c>
      <c r="N22" s="75"/>
      <c r="O22" s="273"/>
      <c r="P22" s="436"/>
      <c r="Q22" s="48"/>
      <c r="R22" s="48"/>
      <c r="S22" s="48"/>
      <c r="T22" s="226"/>
      <c r="U22" s="436"/>
    </row>
    <row r="23" spans="2:21" x14ac:dyDescent="0.2">
      <c r="B23" s="74"/>
      <c r="C23" s="526" t="s">
        <v>451</v>
      </c>
      <c r="D23" s="527">
        <f>XcgSans</f>
        <v>493</v>
      </c>
      <c r="E23" s="527" t="s">
        <v>38</v>
      </c>
      <c r="F23" s="528">
        <f>m_ail</f>
        <v>210</v>
      </c>
      <c r="G23" s="526">
        <f>m_can</f>
        <v>180</v>
      </c>
      <c r="I23" s="529" t="s">
        <v>447</v>
      </c>
      <c r="J23" s="528">
        <f>l_j</f>
        <v>60</v>
      </c>
      <c r="K23" s="526">
        <f>l_r</f>
        <v>50</v>
      </c>
      <c r="N23" s="75"/>
      <c r="O23" s="273"/>
      <c r="P23" s="436"/>
      <c r="Q23" s="48"/>
      <c r="R23" s="48"/>
      <c r="S23" s="48"/>
      <c r="T23" s="226"/>
      <c r="U23" s="436"/>
    </row>
    <row r="24" spans="2:21" x14ac:dyDescent="0.2">
      <c r="B24" s="74"/>
      <c r="C24" s="526" t="s">
        <v>439</v>
      </c>
      <c r="D24" s="526">
        <f>Long_tot</f>
        <v>1120</v>
      </c>
      <c r="E24" s="527" t="s">
        <v>442</v>
      </c>
      <c r="F24" s="528">
        <f>n_ail</f>
        <v>80</v>
      </c>
      <c r="G24" s="526">
        <f>n_can</f>
        <v>80</v>
      </c>
      <c r="I24" s="529" t="s">
        <v>448</v>
      </c>
      <c r="J24" s="528">
        <f>D1j</f>
        <v>84</v>
      </c>
      <c r="K24" s="526">
        <f>D1r</f>
        <v>104</v>
      </c>
      <c r="N24" s="75"/>
      <c r="O24" s="273"/>
      <c r="P24" s="436"/>
      <c r="Q24" s="48"/>
      <c r="R24" s="48"/>
      <c r="S24" s="48"/>
      <c r="T24" s="226"/>
      <c r="U24" s="436"/>
    </row>
    <row r="25" spans="2:21" x14ac:dyDescent="0.2">
      <c r="B25" s="74"/>
      <c r="C25" s="526" t="s">
        <v>440</v>
      </c>
      <c r="D25" s="526">
        <f>XpropuRef</f>
        <v>1120</v>
      </c>
      <c r="E25" s="527" t="s">
        <v>443</v>
      </c>
      <c r="F25" s="528">
        <f>p_ail</f>
        <v>185</v>
      </c>
      <c r="G25" s="526">
        <f>p_can</f>
        <v>160</v>
      </c>
      <c r="I25" s="529" t="s">
        <v>449</v>
      </c>
      <c r="J25" s="528">
        <f>D2j</f>
        <v>104</v>
      </c>
      <c r="K25" s="526">
        <f>D2r</f>
        <v>84</v>
      </c>
      <c r="N25" s="75"/>
      <c r="O25" s="273"/>
      <c r="P25" s="436"/>
      <c r="Q25" s="48"/>
      <c r="R25" s="48"/>
      <c r="S25" s="48"/>
      <c r="T25" s="226"/>
      <c r="U25" s="436"/>
    </row>
    <row r="26" spans="2:21" x14ac:dyDescent="0.2">
      <c r="B26" s="74"/>
      <c r="C26" s="526" t="s">
        <v>437</v>
      </c>
      <c r="D26" s="526">
        <f>D_ref</f>
        <v>104</v>
      </c>
      <c r="E26" s="527" t="s">
        <v>444</v>
      </c>
      <c r="F26" s="528">
        <f>E_ail</f>
        <v>145</v>
      </c>
      <c r="G26" s="526">
        <f>E_can</f>
        <v>110</v>
      </c>
      <c r="I26" s="529" t="s">
        <v>450</v>
      </c>
      <c r="J26" s="528">
        <f>X_j</f>
        <v>1</v>
      </c>
      <c r="K26" s="526">
        <f>X_r</f>
        <v>1070</v>
      </c>
      <c r="N26" s="75"/>
      <c r="O26" s="273"/>
      <c r="P26" s="436"/>
      <c r="Q26" s="48"/>
      <c r="R26" s="48"/>
      <c r="S26" s="48"/>
      <c r="T26" s="226"/>
      <c r="U26" s="436"/>
    </row>
    <row r="27" spans="2:21" x14ac:dyDescent="0.2">
      <c r="B27" s="74"/>
      <c r="C27" s="526" t="s">
        <v>438</v>
      </c>
      <c r="D27" s="526">
        <f>Long_ogive</f>
        <v>1</v>
      </c>
      <c r="E27" s="527" t="s">
        <v>445</v>
      </c>
      <c r="F27" s="528">
        <f>X_ail</f>
        <v>1070</v>
      </c>
      <c r="G27" s="526">
        <f>X_can</f>
        <v>1250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3" t="s">
        <v>141</v>
      </c>
      <c r="D29" s="673" t="s">
        <v>133</v>
      </c>
      <c r="E29" s="673" t="s">
        <v>134</v>
      </c>
      <c r="F29" s="673"/>
      <c r="G29" s="673"/>
      <c r="H29" s="672" t="s">
        <v>135</v>
      </c>
      <c r="I29" s="672"/>
      <c r="J29" s="672"/>
      <c r="K29" s="672"/>
      <c r="L29" s="673" t="s">
        <v>136</v>
      </c>
      <c r="M29" s="673" t="s">
        <v>137</v>
      </c>
      <c r="N29" s="75"/>
      <c r="O29" s="273" t="s">
        <v>429</v>
      </c>
      <c r="P29" s="441">
        <f>n_ail</f>
        <v>80</v>
      </c>
      <c r="Q29" s="2"/>
      <c r="R29" s="48"/>
      <c r="S29" s="48"/>
      <c r="T29" s="48"/>
      <c r="U29" s="12" t="s">
        <v>433</v>
      </c>
    </row>
    <row r="30" spans="2:21" ht="13.5" thickBot="1" x14ac:dyDescent="0.25">
      <c r="B30" s="74"/>
      <c r="C30" s="673"/>
      <c r="D30" s="673"/>
      <c r="E30" s="673"/>
      <c r="F30" s="673"/>
      <c r="G30" s="673"/>
      <c r="H30" s="672" t="s">
        <v>138</v>
      </c>
      <c r="I30" s="672"/>
      <c r="J30" s="69" t="s">
        <v>139</v>
      </c>
      <c r="K30" s="70" t="s">
        <v>140</v>
      </c>
      <c r="L30" s="673"/>
      <c r="M30" s="673"/>
      <c r="N30" s="75"/>
      <c r="P30" s="12"/>
      <c r="R30" s="48"/>
      <c r="S30" s="48"/>
      <c r="T30" s="226" t="s">
        <v>431</v>
      </c>
      <c r="U30" s="523">
        <f>[0]!p_can</f>
        <v>160</v>
      </c>
    </row>
    <row r="31" spans="2:21" ht="13.5" thickBot="1" x14ac:dyDescent="0.25">
      <c r="B31" s="74"/>
      <c r="C31" s="83">
        <f>Beta_rampe</f>
        <v>80</v>
      </c>
      <c r="D31" s="84">
        <f ca="1">Portee_balistique</f>
        <v>928.20926186620727</v>
      </c>
      <c r="E31" s="677">
        <f ca="1">T_para+Dt_para</f>
        <v>182.06897171689053</v>
      </c>
      <c r="F31" s="677"/>
      <c r="G31" s="677"/>
      <c r="H31" s="678">
        <f ca="1">Altitude_culmi</f>
        <v>2142.3631619277116</v>
      </c>
      <c r="I31" s="678"/>
      <c r="J31" s="85">
        <f ca="1">Temps_culmi</f>
        <v>17.399999999999935</v>
      </c>
      <c r="K31" s="86">
        <f ca="1">Vit_culmi</f>
        <v>21.713811068465162</v>
      </c>
      <c r="L31" s="84">
        <f ca="1">Acc_max</f>
        <v>131.75519376816951</v>
      </c>
      <c r="M31" s="86">
        <f ca="1">Vit_max</f>
        <v>302.04547756325957</v>
      </c>
      <c r="N31" s="75"/>
      <c r="O31" s="273" t="s">
        <v>435</v>
      </c>
      <c r="P31" s="441">
        <f>ep_ail</f>
        <v>4</v>
      </c>
      <c r="Q31" s="2"/>
      <c r="R31" s="48"/>
      <c r="S31" s="48"/>
      <c r="T31" s="226" t="s">
        <v>344</v>
      </c>
      <c r="U31" s="523">
        <f>[0]!m_can</f>
        <v>180</v>
      </c>
    </row>
    <row r="32" spans="2:21" ht="13.5" thickBot="1" x14ac:dyDescent="0.25">
      <c r="B32" s="74"/>
      <c r="C32" s="520"/>
      <c r="D32" s="242"/>
      <c r="E32" s="247"/>
      <c r="F32" s="247"/>
      <c r="G32" s="247"/>
      <c r="H32" s="283"/>
      <c r="I32" s="283"/>
      <c r="J32" s="247"/>
      <c r="K32" s="248"/>
      <c r="L32" s="242"/>
      <c r="M32" s="248"/>
      <c r="N32" s="75"/>
      <c r="O32" s="273" t="s">
        <v>434</v>
      </c>
      <c r="P32" s="522">
        <f>Q_ail</f>
        <v>4</v>
      </c>
      <c r="Q32" s="2"/>
      <c r="R32" s="48"/>
      <c r="S32" s="48"/>
      <c r="T32" s="226" t="s">
        <v>429</v>
      </c>
      <c r="U32" s="523">
        <f>[0]!n_can</f>
        <v>80</v>
      </c>
    </row>
    <row r="33" spans="2:21" ht="13.5" thickBot="1" x14ac:dyDescent="0.25">
      <c r="B33" s="74"/>
      <c r="D33" s="80"/>
      <c r="E33" s="81"/>
      <c r="F33" s="81"/>
      <c r="G33" s="81"/>
      <c r="H33" s="82"/>
      <c r="I33" s="82"/>
      <c r="J33" s="81"/>
      <c r="K33" s="76"/>
      <c r="L33" s="80"/>
      <c r="M33" s="76"/>
      <c r="N33" s="75"/>
      <c r="O33" s="2"/>
      <c r="Q33" s="2"/>
      <c r="R33" s="48"/>
      <c r="S33" s="48"/>
      <c r="T33" s="226" t="s">
        <v>430</v>
      </c>
      <c r="U33" s="523">
        <f>[0]!E_can</f>
        <v>110</v>
      </c>
    </row>
    <row r="34" spans="2:21" ht="13.5" thickBot="1" x14ac:dyDescent="0.25">
      <c r="B34" s="77"/>
      <c r="C34" s="78"/>
      <c r="D34" s="78"/>
      <c r="E34" s="78"/>
      <c r="F34" s="78"/>
      <c r="G34" s="78"/>
      <c r="H34" s="78"/>
      <c r="I34" s="78"/>
      <c r="J34" s="78"/>
      <c r="K34" s="78"/>
      <c r="L34" s="78"/>
      <c r="M34" s="78"/>
      <c r="N34" s="79"/>
      <c r="O34" s="2"/>
      <c r="P34" s="273" t="s">
        <v>430</v>
      </c>
      <c r="Q34" s="441">
        <f>E_ail</f>
        <v>145</v>
      </c>
      <c r="T34" s="226" t="s">
        <v>435</v>
      </c>
      <c r="U34" s="523">
        <f>[0]!ep_can</f>
        <v>4</v>
      </c>
    </row>
    <row r="35" spans="2:21" x14ac:dyDescent="0.2">
      <c r="O35" s="2"/>
      <c r="P35" s="6"/>
      <c r="Q35" s="6"/>
      <c r="T35" s="226" t="s">
        <v>434</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562</v>
      </c>
      <c r="I38" t="str">
        <f>Matricule</f>
        <v>FX0</v>
      </c>
      <c r="N38" s="75"/>
    </row>
    <row r="39" spans="2:21" x14ac:dyDescent="0.2">
      <c r="B39" s="74"/>
      <c r="D39" s="2"/>
      <c r="N39" s="75"/>
    </row>
    <row r="40" spans="2:21" x14ac:dyDescent="0.2">
      <c r="B40" s="74"/>
      <c r="D40" s="275" t="s">
        <v>149</v>
      </c>
      <c r="E40" s="246">
        <f>D_ref</f>
        <v>104</v>
      </c>
      <c r="F40" s="265"/>
      <c r="G40" s="265"/>
      <c r="H40" s="261" t="s">
        <v>198</v>
      </c>
      <c r="I40" s="261" t="s">
        <v>199</v>
      </c>
      <c r="J40" s="262" t="s">
        <v>200</v>
      </c>
      <c r="N40" s="75"/>
    </row>
    <row r="41" spans="2:21" x14ac:dyDescent="0.2">
      <c r="B41" s="74"/>
      <c r="D41" s="276" t="s">
        <v>147</v>
      </c>
      <c r="E41" s="6">
        <f>Long_ogive</f>
        <v>1</v>
      </c>
      <c r="F41" s="2"/>
      <c r="G41" s="2" t="s">
        <v>201</v>
      </c>
      <c r="H41" s="6">
        <f>MasseSans</f>
        <v>4.3410000000000002</v>
      </c>
      <c r="I41" s="6">
        <f ca="1">MasseVide</f>
        <v>4.9930000000000003</v>
      </c>
      <c r="J41" s="244">
        <f ca="1">MassePlein</f>
        <v>6.0259999999999998</v>
      </c>
      <c r="N41" s="75"/>
    </row>
    <row r="42" spans="2:21" x14ac:dyDescent="0.2">
      <c r="B42" s="74"/>
      <c r="D42" s="276" t="s">
        <v>150</v>
      </c>
      <c r="E42" s="6">
        <f>X_ail-m_ail</f>
        <v>860</v>
      </c>
      <c r="F42" s="255"/>
      <c r="G42" s="255" t="s">
        <v>218</v>
      </c>
      <c r="H42" s="263">
        <f>XcgSans</f>
        <v>493</v>
      </c>
      <c r="I42" s="263">
        <f ca="1">XcgVide</f>
        <v>542.49088724213902</v>
      </c>
      <c r="J42" s="245">
        <f ca="1">XcgPlein</f>
        <v>601.77281778957854</v>
      </c>
      <c r="N42" s="75"/>
    </row>
    <row r="43" spans="2:21" x14ac:dyDescent="0.2">
      <c r="B43" s="74"/>
      <c r="D43" s="276" t="str">
        <f>IF(Lang="Français","Emplanture 'm'",IF(Lang="English","Root edge  'm'",""))</f>
        <v>Emplanture 'm'</v>
      </c>
      <c r="E43" s="244">
        <f>m_ail</f>
        <v>210</v>
      </c>
      <c r="N43" s="75"/>
    </row>
    <row r="44" spans="2:21" x14ac:dyDescent="0.2">
      <c r="B44" s="74"/>
      <c r="D44" s="276" t="str">
        <f>IF(Lang="Français","Saumon      'n'",IF(Lang="English","Tip edge    'n'",""))</f>
        <v>Saumon      'n'</v>
      </c>
      <c r="E44" s="244">
        <f>n_ail</f>
        <v>80</v>
      </c>
      <c r="F44" s="246" t="s">
        <v>202</v>
      </c>
      <c r="G44" s="246" t="s">
        <v>207</v>
      </c>
      <c r="H44" s="668">
        <f ca="1">Vsortie_de_rampe</f>
        <v>100.8462813403362</v>
      </c>
      <c r="I44" s="669"/>
      <c r="N44" s="75"/>
    </row>
    <row r="45" spans="2:21" x14ac:dyDescent="0.2">
      <c r="B45" s="74"/>
      <c r="D45" s="276" t="str">
        <f>IF(Lang="Français","Flèche        'p'",IF(Lang="English","Offset         'p'",""))</f>
        <v>Flèche        'p'</v>
      </c>
      <c r="E45" s="244">
        <f>p_ail</f>
        <v>185</v>
      </c>
      <c r="F45" s="6" t="s">
        <v>203</v>
      </c>
      <c r="G45" s="6" t="s">
        <v>208</v>
      </c>
      <c r="H45" s="670">
        <f>Finesse</f>
        <v>10.76923076923077</v>
      </c>
      <c r="I45" s="671"/>
      <c r="N45" s="75"/>
    </row>
    <row r="46" spans="2:21" x14ac:dyDescent="0.2">
      <c r="B46" s="74"/>
      <c r="D46" s="276" t="str">
        <f>IF(Lang="Français","Envergure   'E'",IF(Lang="English","Span          'E'",""))</f>
        <v>Envergure   'E'</v>
      </c>
      <c r="E46" s="244">
        <f>E_ail</f>
        <v>145</v>
      </c>
      <c r="F46" s="6" t="s">
        <v>204</v>
      </c>
      <c r="G46" s="6" t="s">
        <v>209</v>
      </c>
      <c r="H46" s="670">
        <f>Cn</f>
        <v>16.203642049332345</v>
      </c>
      <c r="I46" s="671"/>
      <c r="N46" s="75"/>
    </row>
    <row r="47" spans="2:21" x14ac:dyDescent="0.2">
      <c r="B47" s="74"/>
      <c r="D47" s="276" t="s">
        <v>144</v>
      </c>
      <c r="E47" s="244">
        <f>ep_ail</f>
        <v>4</v>
      </c>
      <c r="F47" s="6" t="s">
        <v>205</v>
      </c>
      <c r="G47" s="6" t="s">
        <v>210</v>
      </c>
      <c r="H47" s="247">
        <f ca="1">MS_min</f>
        <v>2.4170096915877433</v>
      </c>
      <c r="I47" s="254">
        <f ca="1">MS_max</f>
        <v>2.9870282545438922</v>
      </c>
      <c r="N47" s="75"/>
    </row>
    <row r="48" spans="2:21" x14ac:dyDescent="0.2">
      <c r="B48" s="74"/>
      <c r="D48" s="276" t="s">
        <v>145</v>
      </c>
      <c r="E48" s="244">
        <f>Q_ail</f>
        <v>4</v>
      </c>
      <c r="F48" s="274" t="s">
        <v>206</v>
      </c>
      <c r="G48" s="274" t="s">
        <v>211</v>
      </c>
      <c r="H48" s="256">
        <f ca="1">MS_Cn_min</f>
        <v>39.164359872254956</v>
      </c>
      <c r="I48" s="264">
        <f ca="1">MS_Cn_max</f>
        <v>48.400736627871211</v>
      </c>
      <c r="N48" s="75"/>
    </row>
    <row r="49" spans="2:14" x14ac:dyDescent="0.2">
      <c r="B49" s="74"/>
      <c r="D49" s="276" t="s">
        <v>148</v>
      </c>
      <c r="E49" s="244">
        <f ca="1">XpropuRef-Long_propu</f>
        <v>632</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1120</v>
      </c>
      <c r="G51" s="276" t="s">
        <v>212</v>
      </c>
      <c r="H51" s="6">
        <f>Sref</f>
        <v>1.0814866535306802E-2</v>
      </c>
      <c r="J51" s="267"/>
      <c r="N51" s="75"/>
    </row>
    <row r="52" spans="2:14" x14ac:dyDescent="0.2">
      <c r="B52" s="74"/>
      <c r="D52" s="276" t="s">
        <v>196</v>
      </c>
      <c r="E52" s="244">
        <f>MAX(D_ref,D_ail,D_og,(RIGHT(Nb_diam,1)=",")*MAX(D1j,D1r,D2j,D2r))</f>
        <v>104</v>
      </c>
      <c r="G52" s="276" t="s">
        <v>213</v>
      </c>
      <c r="H52" s="6">
        <f>Beta_rampe</f>
        <v>80</v>
      </c>
      <c r="I52" s="6">
        <v>80</v>
      </c>
      <c r="J52" s="244">
        <v>90</v>
      </c>
      <c r="N52" s="75"/>
    </row>
    <row r="53" spans="2:14" x14ac:dyDescent="0.2">
      <c r="B53" s="74"/>
      <c r="D53" s="277" t="s">
        <v>197</v>
      </c>
      <c r="E53" s="260">
        <f>E_ail*2+D_ail</f>
        <v>394</v>
      </c>
      <c r="G53" s="278" t="s">
        <v>215</v>
      </c>
      <c r="H53" s="247">
        <f ca="1">Temps_culmi</f>
        <v>17.399999999999935</v>
      </c>
      <c r="I53" s="259"/>
      <c r="J53" s="268"/>
      <c r="N53" s="75"/>
    </row>
    <row r="54" spans="2:14" x14ac:dyDescent="0.2">
      <c r="B54" s="74"/>
      <c r="G54" s="278" t="s">
        <v>216</v>
      </c>
      <c r="H54" s="242">
        <f ca="1">Altitude_culmi</f>
        <v>2142.3631619277116</v>
      </c>
      <c r="I54" s="259"/>
      <c r="J54" s="268"/>
      <c r="N54" s="75"/>
    </row>
    <row r="55" spans="2:14" x14ac:dyDescent="0.2">
      <c r="B55" s="74"/>
      <c r="C55" s="275" t="s">
        <v>233</v>
      </c>
      <c r="D55" s="249" t="s">
        <v>60</v>
      </c>
      <c r="E55" s="243">
        <f>Long_tot</f>
        <v>1120</v>
      </c>
      <c r="G55" s="278" t="s">
        <v>217</v>
      </c>
      <c r="H55" s="248">
        <f ca="1">Vit_culmi</f>
        <v>21.713811068465162</v>
      </c>
      <c r="I55" s="259"/>
      <c r="J55" s="268"/>
      <c r="N55" s="75"/>
    </row>
    <row r="56" spans="2:14" x14ac:dyDescent="0.2">
      <c r="B56" s="74"/>
      <c r="C56" s="276"/>
      <c r="D56" s="2" t="s">
        <v>219</v>
      </c>
      <c r="E56" s="244">
        <f>MAX(D_ref,D_ail,D_og,(RIGHT(Nb_diam,1)=",")*MAX(D1j,D1r,D2j,D2r))</f>
        <v>104</v>
      </c>
      <c r="G56" s="278" t="s">
        <v>133</v>
      </c>
      <c r="H56" s="242">
        <f ca="1">Portee_balistique</f>
        <v>928.20926186620727</v>
      </c>
      <c r="I56" s="259"/>
      <c r="J56" s="268"/>
      <c r="N56" s="75"/>
    </row>
    <row r="57" spans="2:14" x14ac:dyDescent="0.2">
      <c r="B57" s="74"/>
      <c r="C57" s="276"/>
      <c r="D57" s="2" t="s">
        <v>220</v>
      </c>
      <c r="E57" s="244">
        <f>E_ail*2+D_ail</f>
        <v>394</v>
      </c>
      <c r="G57" s="278" t="s">
        <v>214</v>
      </c>
      <c r="H57" s="242">
        <f ca="1">T_balistique</f>
        <v>43.900000000000311</v>
      </c>
      <c r="I57" s="259"/>
      <c r="J57" s="268"/>
      <c r="N57" s="75"/>
    </row>
    <row r="58" spans="2:14" x14ac:dyDescent="0.2">
      <c r="B58" s="74"/>
      <c r="C58" s="276"/>
      <c r="D58" s="2" t="s">
        <v>221</v>
      </c>
      <c r="E58" s="244">
        <f ca="1">MassePlein</f>
        <v>6.0259999999999998</v>
      </c>
      <c r="G58" s="278" t="s">
        <v>137</v>
      </c>
      <c r="H58" s="248">
        <f ca="1">Vit_max</f>
        <v>302.04547756325957</v>
      </c>
      <c r="I58" s="259"/>
      <c r="J58" s="268"/>
      <c r="N58" s="75"/>
    </row>
    <row r="59" spans="2:14" x14ac:dyDescent="0.2">
      <c r="B59" s="74"/>
      <c r="C59" s="277" t="s">
        <v>234</v>
      </c>
      <c r="D59" s="255" t="s">
        <v>145</v>
      </c>
      <c r="E59" s="260">
        <f>Q_ail</f>
        <v>4</v>
      </c>
      <c r="G59" s="278" t="s">
        <v>136</v>
      </c>
      <c r="H59" s="242">
        <f ca="1">Acc_max</f>
        <v>131.75519376816951</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1587.9135952939789</v>
      </c>
      <c r="F62" s="280">
        <f ca="1">E62/9.81</f>
        <v>161.86682928582863</v>
      </c>
      <c r="H62" s="2"/>
      <c r="I62" s="2"/>
      <c r="J62" s="2"/>
      <c r="K62" s="2"/>
      <c r="N62" s="75"/>
    </row>
    <row r="63" spans="2:14" x14ac:dyDescent="0.2">
      <c r="B63" s="74"/>
      <c r="C63" s="276"/>
      <c r="D63" s="2" t="s">
        <v>223</v>
      </c>
      <c r="E63" s="242">
        <f ca="1">2*Acc_max*Masse_ail</f>
        <v>44.322447183612219</v>
      </c>
      <c r="F63" s="248">
        <f ca="1">E63/9.81</f>
        <v>4.5180883979217343</v>
      </c>
      <c r="G63" s="246" t="s">
        <v>229</v>
      </c>
      <c r="H63" s="288">
        <f>S_ail*(ep_ail/1000)*2000</f>
        <v>0.16819999999999999</v>
      </c>
      <c r="I63" s="2"/>
      <c r="J63" s="2"/>
      <c r="K63" s="2"/>
      <c r="N63" s="75"/>
    </row>
    <row r="64" spans="2:14" x14ac:dyDescent="0.2">
      <c r="B64" s="74"/>
      <c r="C64" s="277"/>
      <c r="D64" s="255" t="s">
        <v>224</v>
      </c>
      <c r="E64" s="263">
        <f ca="1">0.104*S_ail*Vit_max^2</f>
        <v>199.48673343119859</v>
      </c>
      <c r="F64" s="281">
        <f ca="1">E64/9.81</f>
        <v>20.335039085749091</v>
      </c>
      <c r="G64" s="274" t="s">
        <v>228</v>
      </c>
      <c r="H64" s="289">
        <f>(E_ail*(m_ail+n_ail)/2)/10^6</f>
        <v>2.1024999999999999E-2</v>
      </c>
      <c r="I64" s="2"/>
      <c r="J64" s="2"/>
      <c r="K64" s="2"/>
      <c r="N64" s="75"/>
    </row>
    <row r="65" spans="2:14" x14ac:dyDescent="0.2">
      <c r="B65" s="74"/>
      <c r="C65" s="282" t="s">
        <v>242</v>
      </c>
      <c r="D65" s="285" t="s">
        <v>240</v>
      </c>
      <c r="E65" s="286">
        <f ca="1">2*Acc_max*H65</f>
        <v>793.95679764698946</v>
      </c>
      <c r="F65" s="286">
        <f ca="1">E65/9.81</f>
        <v>80.933414642914315</v>
      </c>
      <c r="G65" s="287" t="s">
        <v>241</v>
      </c>
      <c r="H65" s="279">
        <f ca="1">E58/2</f>
        <v>3.0129999999999999</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16.399999999999999</v>
      </c>
      <c r="I67" s="251">
        <f ca="1">Temps_culmi</f>
        <v>17.399999999999935</v>
      </c>
      <c r="J67" s="2"/>
      <c r="K67" s="2"/>
      <c r="N67" s="75"/>
    </row>
    <row r="68" spans="2:14" x14ac:dyDescent="0.2">
      <c r="B68" s="74"/>
      <c r="C68" s="6"/>
      <c r="D68" s="2"/>
      <c r="E68" s="2"/>
      <c r="F68" s="275" t="s">
        <v>231</v>
      </c>
      <c r="G68" s="249" t="s">
        <v>129</v>
      </c>
      <c r="H68" s="250">
        <f ca="1">V_para</f>
        <v>12.900767376069568</v>
      </c>
      <c r="I68" s="251">
        <f>V_satellite</f>
        <v>12.655562623057198</v>
      </c>
      <c r="J68" s="2"/>
      <c r="K68" s="2"/>
      <c r="N68" s="75"/>
    </row>
    <row r="69" spans="2:14" x14ac:dyDescent="0.2">
      <c r="B69" s="74"/>
      <c r="C69" s="6"/>
      <c r="D69" s="2"/>
      <c r="E69" s="2"/>
      <c r="F69" s="276"/>
      <c r="G69" s="2" t="s">
        <v>237</v>
      </c>
      <c r="H69" s="247">
        <f>S_para</f>
        <v>0.48049999999999998</v>
      </c>
      <c r="I69" s="253">
        <f>S_satellite</f>
        <v>0.1</v>
      </c>
      <c r="J69" s="2"/>
      <c r="K69" s="2"/>
      <c r="N69" s="75"/>
    </row>
    <row r="70" spans="2:14" x14ac:dyDescent="0.2">
      <c r="B70" s="74"/>
      <c r="C70" s="226"/>
      <c r="D70" s="2"/>
      <c r="F70" s="276"/>
      <c r="G70" s="2" t="s">
        <v>236</v>
      </c>
      <c r="H70" s="247">
        <f ca="1">V_ouverture</f>
        <v>24.22333923848187</v>
      </c>
      <c r="I70" s="253">
        <f ca="1">V_ouv_sat</f>
        <v>219.12684380326775</v>
      </c>
      <c r="N70" s="75"/>
    </row>
    <row r="71" spans="2:14" x14ac:dyDescent="0.2">
      <c r="B71" s="74"/>
      <c r="C71" s="226"/>
      <c r="F71" s="276"/>
      <c r="G71" s="2" t="s">
        <v>201</v>
      </c>
      <c r="H71" s="247">
        <f ca="1">m_vide</f>
        <v>4.9930000000000003</v>
      </c>
      <c r="I71" s="253">
        <f>m_satellite</f>
        <v>1</v>
      </c>
      <c r="N71" s="75"/>
    </row>
    <row r="72" spans="2:14" x14ac:dyDescent="0.2">
      <c r="B72" s="74"/>
      <c r="C72" s="226"/>
      <c r="F72" s="276"/>
      <c r="G72" s="2" t="s">
        <v>238</v>
      </c>
      <c r="H72" s="283">
        <f ca="1">1/2*Rho_moyen*S_para*V_ouverture^2</f>
        <v>172.69012653828005</v>
      </c>
      <c r="I72" s="284">
        <f ca="1">1/2*Rho_moyen*S_satellite*V_ouv_sat^2</f>
        <v>2941.0151376048793</v>
      </c>
      <c r="N72" s="75"/>
    </row>
    <row r="73" spans="2:14" x14ac:dyDescent="0.2">
      <c r="B73" s="74"/>
      <c r="D73" s="2"/>
      <c r="F73" s="277"/>
      <c r="G73" s="255" t="s">
        <v>239</v>
      </c>
      <c r="H73" s="256">
        <f ca="1">H72/9.81</f>
        <v>17.603478750079514</v>
      </c>
      <c r="I73" s="257">
        <f ca="1">I72/9.81</f>
        <v>299.79766948061967</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1</v>
      </c>
      <c r="G82" s="48"/>
      <c r="H82" s="48"/>
      <c r="I82" s="48"/>
      <c r="J82" s="48"/>
      <c r="K82" s="48"/>
      <c r="N82" s="75"/>
    </row>
    <row r="83" spans="2:14" x14ac:dyDescent="0.2">
      <c r="B83" s="74"/>
      <c r="C83" s="277" t="s">
        <v>336</v>
      </c>
      <c r="D83" s="433">
        <f ca="1">TODAY()</f>
        <v>46116</v>
      </c>
      <c r="E83" s="48"/>
      <c r="F83" s="436"/>
      <c r="G83" s="48"/>
      <c r="H83" s="48"/>
      <c r="I83" s="48"/>
      <c r="J83" s="48"/>
      <c r="K83" s="48"/>
      <c r="N83" s="75"/>
    </row>
    <row r="84" spans="2:14" ht="13.5" thickBot="1" x14ac:dyDescent="0.25">
      <c r="B84" s="74"/>
      <c r="E84" s="48"/>
      <c r="F84" s="436"/>
      <c r="G84" s="48"/>
      <c r="H84" s="48"/>
      <c r="I84" s="48"/>
      <c r="J84" s="440">
        <f>IF(RIGHT(Nb_diam,1)=",", "", X_j)</f>
        <v>1</v>
      </c>
      <c r="K84" s="48"/>
      <c r="N84" s="75"/>
    </row>
    <row r="85" spans="2:14" ht="13.5" thickBot="1" x14ac:dyDescent="0.25">
      <c r="B85" s="74"/>
      <c r="C85" s="275" t="s">
        <v>337</v>
      </c>
      <c r="D85" s="243" t="str">
        <f>Propu</f>
        <v>Barasinga (Pro54-5G C)</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1070</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60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104</v>
      </c>
      <c r="G90" s="48"/>
      <c r="H90" s="48"/>
      <c r="I90" s="48"/>
      <c r="J90" s="441">
        <f>X_ail-m_ail</f>
        <v>860</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50</v>
      </c>
      <c r="K92" s="48"/>
      <c r="N92" s="75"/>
    </row>
    <row r="93" spans="2:14" x14ac:dyDescent="0.2">
      <c r="B93" s="74"/>
      <c r="E93" s="48"/>
      <c r="F93" s="436"/>
      <c r="G93" s="48"/>
      <c r="H93" s="48"/>
      <c r="I93" s="48"/>
      <c r="J93" s="436"/>
      <c r="K93" s="48"/>
      <c r="N93" s="75"/>
    </row>
    <row r="94" spans="2:14" x14ac:dyDescent="0.2">
      <c r="B94" s="74"/>
      <c r="E94" s="434" t="s">
        <v>343</v>
      </c>
      <c r="F94" s="440">
        <f>IF(RIGHT(Nb_diam,1)=",", "", D2r)</f>
        <v>84</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210</v>
      </c>
      <c r="G97" s="48"/>
      <c r="H97" s="48"/>
      <c r="I97" s="48"/>
      <c r="J97" s="441">
        <f>p_ail</f>
        <v>185</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632</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145</v>
      </c>
      <c r="I105" s="273"/>
      <c r="J105" s="441">
        <f>ep_ail</f>
        <v>4</v>
      </c>
      <c r="K105" s="48"/>
      <c r="N105" s="75"/>
    </row>
    <row r="106" spans="2:14" x14ac:dyDescent="0.2">
      <c r="B106" s="74"/>
      <c r="D106" s="429"/>
      <c r="E106" s="246" t="s">
        <v>354</v>
      </c>
      <c r="F106" s="243" t="s">
        <v>353</v>
      </c>
      <c r="N106" s="75"/>
    </row>
    <row r="107" spans="2:14" x14ac:dyDescent="0.2">
      <c r="B107" s="74"/>
      <c r="D107" s="437" t="s">
        <v>351</v>
      </c>
      <c r="E107" s="6">
        <f>MasseSans</f>
        <v>4.3410000000000002</v>
      </c>
      <c r="F107" s="244">
        <f ca="1">MassePlein</f>
        <v>6.0259999999999998</v>
      </c>
      <c r="N107" s="75"/>
    </row>
    <row r="108" spans="2:14" x14ac:dyDescent="0.2">
      <c r="B108" s="74"/>
      <c r="D108" s="431" t="s">
        <v>352</v>
      </c>
      <c r="E108" s="274">
        <f>XcgSans</f>
        <v>493</v>
      </c>
      <c r="F108" s="260">
        <f ca="1">XcgPlein</f>
        <v>601.77281778957854</v>
      </c>
      <c r="N108" s="75"/>
    </row>
    <row r="109" spans="2:14" x14ac:dyDescent="0.2">
      <c r="B109" s="74"/>
      <c r="N109" s="75"/>
    </row>
    <row r="110" spans="2:14" x14ac:dyDescent="0.2">
      <c r="B110" s="74"/>
      <c r="D110" s="438" t="s">
        <v>355</v>
      </c>
      <c r="E110" s="439">
        <f ca="1">MasseVide</f>
        <v>4.9930000000000003</v>
      </c>
      <c r="G110" s="429" t="s">
        <v>356</v>
      </c>
      <c r="H110" s="265"/>
      <c r="I110" s="265"/>
      <c r="J110" s="266"/>
      <c r="N110" s="75"/>
    </row>
    <row r="111" spans="2:14" x14ac:dyDescent="0.2">
      <c r="B111" s="74"/>
      <c r="G111" s="276" t="s">
        <v>213</v>
      </c>
      <c r="H111" s="6">
        <f>Beta_rampe</f>
        <v>80</v>
      </c>
      <c r="I111" s="6">
        <v>80</v>
      </c>
      <c r="J111" s="244">
        <v>90</v>
      </c>
      <c r="N111" s="75"/>
    </row>
    <row r="112" spans="2:14" x14ac:dyDescent="0.2">
      <c r="B112" s="74"/>
      <c r="G112" s="278" t="s">
        <v>215</v>
      </c>
      <c r="H112" s="247">
        <f ca="1">Temps_culmi</f>
        <v>17.399999999999935</v>
      </c>
      <c r="I112" s="259"/>
      <c r="J112" s="268"/>
      <c r="N112" s="75"/>
    </row>
    <row r="113" spans="2:14" ht="12.75" customHeight="1" x14ac:dyDescent="0.25">
      <c r="B113" s="74"/>
      <c r="D113" s="435" t="s">
        <v>357</v>
      </c>
      <c r="E113" s="48"/>
      <c r="G113" s="278" t="s">
        <v>216</v>
      </c>
      <c r="H113" s="242">
        <f ca="1">Altitude_culmi</f>
        <v>2142.3631619277116</v>
      </c>
      <c r="I113" s="259"/>
      <c r="J113" s="268"/>
      <c r="N113" s="75"/>
    </row>
    <row r="114" spans="2:14" ht="12.75" customHeight="1" x14ac:dyDescent="0.25">
      <c r="B114" s="74"/>
      <c r="D114" s="48"/>
      <c r="E114" s="48"/>
      <c r="F114" s="435"/>
      <c r="G114" s="278" t="s">
        <v>217</v>
      </c>
      <c r="H114" s="248">
        <f ca="1">Vit_culmi</f>
        <v>21.713811068465162</v>
      </c>
      <c r="I114" s="259"/>
      <c r="J114" s="268"/>
      <c r="N114" s="75"/>
    </row>
    <row r="115" spans="2:14" x14ac:dyDescent="0.2">
      <c r="B115" s="74"/>
      <c r="C115" s="429" t="s">
        <v>358</v>
      </c>
      <c r="D115" s="249"/>
      <c r="E115" s="446">
        <v>0.1</v>
      </c>
      <c r="G115" s="278" t="s">
        <v>133</v>
      </c>
      <c r="H115" s="242">
        <f ca="1">Portee_balistique</f>
        <v>928.20926186620727</v>
      </c>
      <c r="I115" s="259"/>
      <c r="J115" s="268"/>
      <c r="N115" s="75"/>
    </row>
    <row r="116" spans="2:14" ht="12.75" customHeight="1" x14ac:dyDescent="0.2">
      <c r="B116" s="74"/>
      <c r="C116" s="431" t="s">
        <v>359</v>
      </c>
      <c r="D116" s="255"/>
      <c r="E116" s="447">
        <f>E_ail*(m_ail+n_ail)/2</f>
        <v>21025</v>
      </c>
      <c r="G116" s="278" t="s">
        <v>137</v>
      </c>
      <c r="H116" s="248">
        <f ca="1">Vit_max</f>
        <v>302.04547756325957</v>
      </c>
      <c r="I116" s="259"/>
      <c r="J116" s="268"/>
      <c r="N116" s="75"/>
    </row>
    <row r="117" spans="2:14" ht="12.75" customHeight="1" x14ac:dyDescent="0.2">
      <c r="B117" s="74"/>
      <c r="D117" s="48"/>
      <c r="E117" s="48"/>
      <c r="F117" s="48"/>
      <c r="G117" s="278" t="s">
        <v>136</v>
      </c>
      <c r="H117" s="242">
        <f ca="1">Acc_max</f>
        <v>131.75519376816951</v>
      </c>
      <c r="I117" s="259"/>
      <c r="J117" s="268"/>
      <c r="N117" s="75"/>
    </row>
    <row r="118" spans="2:14" x14ac:dyDescent="0.2">
      <c r="B118" s="74"/>
      <c r="C118" s="429" t="s">
        <v>360</v>
      </c>
      <c r="D118" s="249"/>
      <c r="E118" s="457"/>
      <c r="F118" s="458">
        <f>J90/100</f>
        <v>8.6</v>
      </c>
      <c r="G118" s="276" t="s">
        <v>5</v>
      </c>
      <c r="H118" s="6">
        <f>Cx</f>
        <v>0.6</v>
      </c>
      <c r="I118" s="259"/>
      <c r="J118" s="268"/>
      <c r="N118" s="75"/>
    </row>
    <row r="119" spans="2:14" x14ac:dyDescent="0.2">
      <c r="B119" s="74"/>
      <c r="C119" s="437" t="s">
        <v>361</v>
      </c>
      <c r="D119" s="2"/>
      <c r="E119" s="459">
        <f ca="1">2*Acc_max*MasseSans</f>
        <v>1143.8985922952477</v>
      </c>
      <c r="F119" s="460">
        <f ca="1">E119/g</f>
        <v>116.60536109023931</v>
      </c>
      <c r="G119" s="269" t="s">
        <v>222</v>
      </c>
      <c r="H119" s="270"/>
      <c r="I119" s="270"/>
      <c r="J119" s="271"/>
      <c r="N119" s="75"/>
    </row>
    <row r="120" spans="2:14" x14ac:dyDescent="0.2">
      <c r="B120" s="74"/>
      <c r="C120" s="437" t="s">
        <v>362</v>
      </c>
      <c r="D120" s="2"/>
      <c r="E120" s="459">
        <f ca="1">2*Acc_max*E115</f>
        <v>26.351038753633901</v>
      </c>
      <c r="F120" s="460">
        <f ca="1">E120/g</f>
        <v>2.6861405457323038</v>
      </c>
      <c r="N120" s="75"/>
    </row>
    <row r="121" spans="2:14" x14ac:dyDescent="0.2">
      <c r="B121" s="74"/>
      <c r="C121" s="431" t="s">
        <v>363</v>
      </c>
      <c r="D121" s="255"/>
      <c r="E121" s="452">
        <f ca="1">0.104*E116/1000000*Vit_max^2</f>
        <v>199.48673343119859</v>
      </c>
      <c r="F121" s="453">
        <f ca="1">E121/g</f>
        <v>20.335039085749091</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0.48049999999999998</v>
      </c>
      <c r="G127" s="48"/>
      <c r="J127" s="48"/>
      <c r="N127" s="75"/>
    </row>
    <row r="128" spans="2:14" x14ac:dyDescent="0.2">
      <c r="B128" s="74"/>
      <c r="C128" s="681" t="s">
        <v>368</v>
      </c>
      <c r="D128" s="682"/>
      <c r="E128" s="450">
        <f ca="1">0.5*Rho_moyen*S_para*Vit_culmi^2</f>
        <v>138.76233347567765</v>
      </c>
      <c r="F128" s="451">
        <f ca="1">E128/g</f>
        <v>14.144988121883552</v>
      </c>
      <c r="H128" s="48"/>
      <c r="I128" s="48"/>
      <c r="J128" s="48"/>
      <c r="K128" s="48"/>
      <c r="N128" s="75"/>
    </row>
    <row r="129" spans="2:14" x14ac:dyDescent="0.2">
      <c r="B129" s="74"/>
      <c r="C129" s="679" t="s">
        <v>369</v>
      </c>
      <c r="D129" s="680"/>
      <c r="E129" s="452">
        <f ca="1">E128/E126*2</f>
        <v>69.381166737838825</v>
      </c>
      <c r="F129" s="453">
        <f ca="1">E129/g</f>
        <v>7.0724940609417759</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81" t="s">
        <v>371</v>
      </c>
      <c r="D132" s="682"/>
      <c r="E132" s="454">
        <v>1</v>
      </c>
      <c r="F132" s="48"/>
      <c r="G132" s="48"/>
      <c r="H132" s="48"/>
      <c r="I132" s="48"/>
      <c r="J132" s="442"/>
      <c r="K132" s="48"/>
      <c r="N132" s="75"/>
    </row>
    <row r="133" spans="2:14" x14ac:dyDescent="0.2">
      <c r="B133" s="74"/>
      <c r="C133" s="679" t="s">
        <v>372</v>
      </c>
      <c r="D133" s="680"/>
      <c r="E133" s="455">
        <f ca="1">2*E132*Acc_max/g</f>
        <v>26.861405457323038</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C133:D133"/>
    <mergeCell ref="C128:D128"/>
    <mergeCell ref="C129:D129"/>
    <mergeCell ref="C132:D132"/>
    <mergeCell ref="H44:I44"/>
    <mergeCell ref="H45:I45"/>
    <mergeCell ref="H46:I46"/>
    <mergeCell ref="E31:G31"/>
    <mergeCell ref="M29:M30"/>
    <mergeCell ref="H30:I30"/>
    <mergeCell ref="L29:L30"/>
    <mergeCell ref="H31:I31"/>
    <mergeCell ref="H11:I11"/>
    <mergeCell ref="H12:I12"/>
    <mergeCell ref="H13:I13"/>
    <mergeCell ref="H29:K29"/>
    <mergeCell ref="C29:C30"/>
    <mergeCell ref="D29:D30"/>
    <mergeCell ref="H17:I17"/>
    <mergeCell ref="H18:I18"/>
    <mergeCell ref="H19:I19"/>
    <mergeCell ref="E29:G30"/>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2026-04-04T21:17:42Z</dcterms:modified>
</cp:coreProperties>
</file>